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kovacikova\Desktop\úprava rozpočtu 2023\"/>
    </mc:Choice>
  </mc:AlternateContent>
  <xr:revisionPtr revIDLastSave="0" documentId="13_ncr:1_{6780D678-DD54-4606-9234-0C55063D883F}" xr6:coauthVersionLast="47" xr6:coauthVersionMax="47" xr10:uidLastSave="{00000000-0000-0000-0000-000000000000}"/>
  <bookViews>
    <workbookView xWindow="-120" yWindow="-120" windowWidth="29040" windowHeight="15840" tabRatio="638" activeTab="8" xr2:uid="{00000000-000D-0000-FFFF-FFFF00000000}"/>
  </bookViews>
  <sheets>
    <sheet name="príjmy " sheetId="5" r:id="rId1"/>
    <sheet name="výdavky " sheetId="6" r:id="rId2"/>
    <sheet name="sumár " sheetId="7" r:id="rId3"/>
    <sheet name="pomocná tabuľka - príjmy 2013" sheetId="1" state="hidden" r:id="rId4"/>
    <sheet name="pomocná tabuľka - výdavky 2013" sheetId="2" state="hidden" r:id="rId5"/>
    <sheet name="pomocná tabuľka - sumár 2013" sheetId="3" state="hidden" r:id="rId6"/>
    <sheet name="investície" sheetId="12" r:id="rId7"/>
    <sheet name="Rozpočet celkový 2023" sheetId="13" r:id="rId8"/>
    <sheet name="zdroje financovania 2023" sheetId="14" r:id="rId9"/>
  </sheets>
  <externalReferences>
    <externalReference r:id="rId10"/>
    <externalReference r:id="rId11"/>
    <externalReference r:id="rId12"/>
  </externalReferences>
  <definedNames>
    <definedName name="_xlnm.Print_Titles" localSheetId="3">'pomocná tabuľka - príjmy 2013'!$2:$2</definedName>
    <definedName name="_xlnm.Print_Titles" localSheetId="4">'pomocná tabuľka - výdavky 2013'!$5:$7</definedName>
    <definedName name="_xlnm.Print_Titles" localSheetId="0">'príjmy '!$2:$3</definedName>
    <definedName name="_xlnm.Print_Titles" localSheetId="1">'výdavky '!$3:$5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2" l="1"/>
  <c r="G120" i="5" l="1"/>
  <c r="E30" i="7"/>
  <c r="F30" i="7"/>
  <c r="G30" i="7"/>
  <c r="H30" i="7"/>
  <c r="D30" i="7"/>
  <c r="G30" i="14"/>
  <c r="G6" i="14"/>
  <c r="F30" i="14"/>
  <c r="F6" i="14"/>
  <c r="E6" i="14"/>
  <c r="D6" i="14"/>
  <c r="C30" i="14"/>
  <c r="F35" i="14" l="1"/>
  <c r="O51" i="13"/>
  <c r="E43" i="13"/>
  <c r="E30" i="13"/>
  <c r="I47" i="13"/>
  <c r="H47" i="13"/>
  <c r="O47" i="13"/>
  <c r="P45" i="13"/>
  <c r="G45" i="13"/>
  <c r="O38" i="13"/>
  <c r="F4" i="12"/>
  <c r="F5" i="12"/>
  <c r="F6" i="12"/>
  <c r="F7" i="12"/>
  <c r="F8" i="12"/>
  <c r="F9" i="12"/>
  <c r="F10" i="12"/>
  <c r="F11" i="12"/>
  <c r="F12" i="12"/>
  <c r="F13" i="12"/>
  <c r="F14" i="12"/>
  <c r="F15" i="12"/>
  <c r="F16" i="12"/>
  <c r="F17" i="12"/>
  <c r="F18" i="12"/>
  <c r="F19" i="12"/>
  <c r="F20" i="12"/>
  <c r="F21" i="12"/>
  <c r="F22" i="12"/>
  <c r="F23" i="12"/>
  <c r="F25" i="12"/>
  <c r="F26" i="12"/>
  <c r="F27" i="12"/>
  <c r="F3" i="12"/>
  <c r="F28" i="12" s="1"/>
  <c r="E48" i="13" l="1"/>
  <c r="T21" i="13"/>
  <c r="F91" i="5"/>
  <c r="G48" i="13"/>
  <c r="L45" i="13"/>
  <c r="I24" i="13"/>
  <c r="I23" i="13"/>
  <c r="I22" i="13"/>
  <c r="I21" i="13"/>
  <c r="I20" i="13"/>
  <c r="I19" i="13"/>
  <c r="I16" i="13"/>
  <c r="I15" i="13"/>
  <c r="I14" i="13"/>
  <c r="I12" i="13"/>
  <c r="I11" i="13"/>
  <c r="I10" i="13"/>
  <c r="E22" i="13"/>
  <c r="E15" i="13"/>
  <c r="E44" i="13"/>
  <c r="E41" i="13"/>
  <c r="E40" i="13"/>
  <c r="E39" i="13"/>
  <c r="E38" i="13"/>
  <c r="E37" i="13"/>
  <c r="E33" i="13"/>
  <c r="E32" i="13"/>
  <c r="E31" i="13"/>
  <c r="E27" i="13"/>
  <c r="E24" i="13"/>
  <c r="E23" i="13"/>
  <c r="E21" i="13"/>
  <c r="E20" i="13"/>
  <c r="E19" i="13"/>
  <c r="E16" i="13"/>
  <c r="E14" i="13"/>
  <c r="E12" i="13"/>
  <c r="E11" i="13"/>
  <c r="E10" i="13"/>
  <c r="L46" i="13" l="1"/>
  <c r="G79" i="5" l="1"/>
  <c r="F46" i="13" l="1"/>
  <c r="F17" i="13"/>
  <c r="F10" i="13"/>
  <c r="G46" i="13"/>
  <c r="F92" i="5"/>
  <c r="F51" i="5"/>
  <c r="G19" i="13"/>
  <c r="S19" i="13"/>
  <c r="H23" i="13" l="1"/>
  <c r="H22" i="13"/>
  <c r="H21" i="13"/>
  <c r="H20" i="13"/>
  <c r="H19" i="13"/>
  <c r="H16" i="13"/>
  <c r="H15" i="13"/>
  <c r="H14" i="13"/>
  <c r="H12" i="13"/>
  <c r="H11" i="13"/>
  <c r="H10" i="13"/>
  <c r="T23" i="13"/>
  <c r="T22" i="13"/>
  <c r="T20" i="13"/>
  <c r="T19" i="13"/>
  <c r="T16" i="13"/>
  <c r="T15" i="13"/>
  <c r="T14" i="13"/>
  <c r="G27" i="13"/>
  <c r="G26" i="13"/>
  <c r="G23" i="13"/>
  <c r="G22" i="13"/>
  <c r="G21" i="13"/>
  <c r="G20" i="13"/>
  <c r="L20" i="13" l="1"/>
  <c r="T12" i="13"/>
  <c r="T11" i="13"/>
  <c r="T10" i="13"/>
  <c r="R27" i="13"/>
  <c r="R26" i="13"/>
  <c r="S27" i="13"/>
  <c r="S26" i="13"/>
  <c r="S21" i="13"/>
  <c r="R22" i="13"/>
  <c r="R21" i="13"/>
  <c r="R20" i="13"/>
  <c r="G119" i="5" l="1"/>
  <c r="G73" i="5"/>
  <c r="G74" i="5"/>
  <c r="G75" i="5"/>
  <c r="F81" i="5" l="1"/>
  <c r="AA182" i="6" l="1"/>
  <c r="AA181" i="6"/>
  <c r="AA180" i="6"/>
  <c r="AA178" i="6"/>
  <c r="AA176" i="6"/>
  <c r="AA175" i="6"/>
  <c r="AA174" i="6"/>
  <c r="AA172" i="6"/>
  <c r="AA171" i="6"/>
  <c r="AA170" i="6"/>
  <c r="AA169" i="6"/>
  <c r="AA168" i="6"/>
  <c r="AA166" i="6"/>
  <c r="AA165" i="6"/>
  <c r="AA164" i="6"/>
  <c r="AA163" i="6"/>
  <c r="AA161" i="6"/>
  <c r="AA160" i="6"/>
  <c r="AA159" i="6"/>
  <c r="AA158" i="6"/>
  <c r="AA156" i="6"/>
  <c r="AA155" i="6"/>
  <c r="AA154" i="6"/>
  <c r="AA151" i="6"/>
  <c r="AA150" i="6"/>
  <c r="AA149" i="6"/>
  <c r="AA148" i="6"/>
  <c r="AA147" i="6"/>
  <c r="AA146" i="6"/>
  <c r="AA145" i="6"/>
  <c r="AA144" i="6"/>
  <c r="AA143" i="6"/>
  <c r="AA142" i="6"/>
  <c r="AA139" i="6"/>
  <c r="AA138" i="6"/>
  <c r="AA137" i="6"/>
  <c r="AA136" i="6"/>
  <c r="AA135" i="6"/>
  <c r="AA134" i="6"/>
  <c r="AA132" i="6"/>
  <c r="AA130" i="6"/>
  <c r="AA129" i="6"/>
  <c r="AA128" i="6"/>
  <c r="AA127" i="6"/>
  <c r="AA126" i="6"/>
  <c r="AA125" i="6"/>
  <c r="AA124" i="6"/>
  <c r="AA123" i="6"/>
  <c r="AA121" i="6"/>
  <c r="AA119" i="6"/>
  <c r="AA118" i="6"/>
  <c r="AA117" i="6"/>
  <c r="AA116" i="6"/>
  <c r="AA115" i="6"/>
  <c r="AA114" i="6"/>
  <c r="AA112" i="6"/>
  <c r="AA111" i="6"/>
  <c r="AA110" i="6"/>
  <c r="AA109" i="6"/>
  <c r="AA108" i="6"/>
  <c r="AA107" i="6"/>
  <c r="AA105" i="6"/>
  <c r="AA104" i="6"/>
  <c r="AA103" i="6"/>
  <c r="AA102" i="6"/>
  <c r="AA101" i="6"/>
  <c r="AA100" i="6"/>
  <c r="AA99" i="6"/>
  <c r="AA98" i="6"/>
  <c r="AA96" i="6"/>
  <c r="AA94" i="6"/>
  <c r="AA92" i="6"/>
  <c r="AA90" i="6"/>
  <c r="AA89" i="6"/>
  <c r="AA87" i="6"/>
  <c r="AA86" i="6"/>
  <c r="AA84" i="6"/>
  <c r="AA83" i="6"/>
  <c r="AA82" i="6"/>
  <c r="AA81" i="6"/>
  <c r="AA80" i="6"/>
  <c r="AA79" i="6"/>
  <c r="AA78" i="6"/>
  <c r="AA75" i="6"/>
  <c r="AA74" i="6"/>
  <c r="AA73" i="6"/>
  <c r="AA71" i="6"/>
  <c r="AA70" i="6"/>
  <c r="AA67" i="6"/>
  <c r="AA66" i="6"/>
  <c r="AA64" i="6"/>
  <c r="AA63" i="6"/>
  <c r="AA62" i="6"/>
  <c r="AA61" i="6"/>
  <c r="AA59" i="6"/>
  <c r="AA58" i="6"/>
  <c r="AA57" i="6"/>
  <c r="AA56" i="6"/>
  <c r="AA55" i="6"/>
  <c r="AA54" i="6"/>
  <c r="AA51" i="6"/>
  <c r="AA50" i="6"/>
  <c r="AA49" i="6"/>
  <c r="AA47" i="6"/>
  <c r="AA35" i="6"/>
  <c r="AA34" i="6"/>
  <c r="AA33" i="6"/>
  <c r="AA31" i="6"/>
  <c r="AA30" i="6"/>
  <c r="AA29" i="6"/>
  <c r="AA28" i="6"/>
  <c r="AA27" i="6"/>
  <c r="AA26" i="6"/>
  <c r="AA25" i="6"/>
  <c r="AA24" i="6"/>
  <c r="AA21" i="6"/>
  <c r="AA20" i="6"/>
  <c r="AA19" i="6"/>
  <c r="AA18" i="6"/>
  <c r="AA17" i="6"/>
  <c r="AA16" i="6"/>
  <c r="AA15" i="6"/>
  <c r="AA13" i="6"/>
  <c r="AA12" i="6"/>
  <c r="AA11" i="6"/>
  <c r="AA10" i="6"/>
  <c r="Z182" i="6"/>
  <c r="Z181" i="6"/>
  <c r="Z178" i="6"/>
  <c r="Z177" i="6"/>
  <c r="Z176" i="6"/>
  <c r="Z175" i="6"/>
  <c r="Z174" i="6"/>
  <c r="Z172" i="6"/>
  <c r="Z171" i="6"/>
  <c r="Z170" i="6"/>
  <c r="Z169" i="6"/>
  <c r="Z168" i="6"/>
  <c r="Z166" i="6"/>
  <c r="Z165" i="6"/>
  <c r="Z164" i="6"/>
  <c r="Z163" i="6"/>
  <c r="Z161" i="6"/>
  <c r="Z160" i="6"/>
  <c r="Z159" i="6"/>
  <c r="Z156" i="6"/>
  <c r="Z155" i="6"/>
  <c r="Z154" i="6"/>
  <c r="Z151" i="6"/>
  <c r="Z150" i="6"/>
  <c r="Z149" i="6"/>
  <c r="Z148" i="6"/>
  <c r="Z147" i="6"/>
  <c r="Z146" i="6"/>
  <c r="Z145" i="6"/>
  <c r="Z144" i="6"/>
  <c r="Z143" i="6"/>
  <c r="Z139" i="6"/>
  <c r="Z138" i="6"/>
  <c r="Z137" i="6"/>
  <c r="Z136" i="6"/>
  <c r="Z135" i="6"/>
  <c r="Z134" i="6"/>
  <c r="Z132" i="6"/>
  <c r="Z130" i="6"/>
  <c r="Z129" i="6"/>
  <c r="Z127" i="6"/>
  <c r="Z126" i="6"/>
  <c r="Z125" i="6"/>
  <c r="Z124" i="6"/>
  <c r="Z123" i="6"/>
  <c r="Z121" i="6"/>
  <c r="Z119" i="6"/>
  <c r="Z118" i="6"/>
  <c r="Z117" i="6"/>
  <c r="Z116" i="6"/>
  <c r="Z115" i="6"/>
  <c r="Z114" i="6"/>
  <c r="Z112" i="6"/>
  <c r="Z111" i="6"/>
  <c r="Z110" i="6"/>
  <c r="Z109" i="6"/>
  <c r="Z108" i="6"/>
  <c r="Z107" i="6"/>
  <c r="Z105" i="6"/>
  <c r="Z104" i="6"/>
  <c r="Z103" i="6"/>
  <c r="Z102" i="6"/>
  <c r="Z101" i="6"/>
  <c r="Z100" i="6"/>
  <c r="Z99" i="6"/>
  <c r="Z98" i="6"/>
  <c r="Z96" i="6"/>
  <c r="Z94" i="6"/>
  <c r="Z92" i="6"/>
  <c r="Z90" i="6"/>
  <c r="Z87" i="6"/>
  <c r="Z86" i="6"/>
  <c r="Z84" i="6"/>
  <c r="Z83" i="6"/>
  <c r="Z82" i="6"/>
  <c r="Z81" i="6"/>
  <c r="Z80" i="6"/>
  <c r="Z79" i="6"/>
  <c r="Z78" i="6"/>
  <c r="Z75" i="6"/>
  <c r="Z74" i="6"/>
  <c r="Z73" i="6"/>
  <c r="Z71" i="6"/>
  <c r="Z70" i="6"/>
  <c r="Z67" i="6"/>
  <c r="Z66" i="6"/>
  <c r="Z64" i="6"/>
  <c r="Z63" i="6"/>
  <c r="Z62" i="6"/>
  <c r="Z61" i="6"/>
  <c r="Z59" i="6"/>
  <c r="Z58" i="6"/>
  <c r="Z57" i="6"/>
  <c r="Z56" i="6"/>
  <c r="Z55" i="6"/>
  <c r="Z54" i="6"/>
  <c r="Z51" i="6"/>
  <c r="Z50" i="6"/>
  <c r="Z49" i="6"/>
  <c r="Z47" i="6"/>
  <c r="Z35" i="6"/>
  <c r="Z34" i="6"/>
  <c r="Z33" i="6"/>
  <c r="Z31" i="6"/>
  <c r="Z30" i="6"/>
  <c r="Z29" i="6"/>
  <c r="Z28" i="6"/>
  <c r="Z27" i="6"/>
  <c r="Z26" i="6"/>
  <c r="Z25" i="6"/>
  <c r="Z24" i="6"/>
  <c r="Z21" i="6"/>
  <c r="Z20" i="6"/>
  <c r="Z19" i="6"/>
  <c r="Z18" i="6"/>
  <c r="Z16" i="6"/>
  <c r="Z15" i="6"/>
  <c r="Z13" i="6"/>
  <c r="Z12" i="6"/>
  <c r="Z11" i="6"/>
  <c r="Z10" i="6"/>
  <c r="Y182" i="6"/>
  <c r="Y181" i="6"/>
  <c r="Y178" i="6"/>
  <c r="Y177" i="6"/>
  <c r="Y174" i="6"/>
  <c r="Y172" i="6"/>
  <c r="Y164" i="6"/>
  <c r="Y160" i="6"/>
  <c r="Y155" i="6"/>
  <c r="Y151" i="6"/>
  <c r="Y150" i="6"/>
  <c r="Y149" i="6"/>
  <c r="Y148" i="6"/>
  <c r="Y147" i="6"/>
  <c r="Y146" i="6"/>
  <c r="Y145" i="6"/>
  <c r="Y144" i="6"/>
  <c r="Y139" i="6"/>
  <c r="Y138" i="6"/>
  <c r="Y135" i="6"/>
  <c r="Y132" i="6"/>
  <c r="Y130" i="6"/>
  <c r="Y128" i="6"/>
  <c r="Y127" i="6"/>
  <c r="Y123" i="6"/>
  <c r="Y121" i="6"/>
  <c r="Y117" i="6"/>
  <c r="Y115" i="6"/>
  <c r="Y114" i="6"/>
  <c r="Y105" i="6"/>
  <c r="Y104" i="6"/>
  <c r="Y103" i="6"/>
  <c r="Y102" i="6"/>
  <c r="Y101" i="6"/>
  <c r="Y100" i="6"/>
  <c r="Y99" i="6"/>
  <c r="Y98" i="6"/>
  <c r="Y96" i="6"/>
  <c r="Y94" i="6"/>
  <c r="Y92" i="6"/>
  <c r="Y90" i="6"/>
  <c r="Y89" i="6"/>
  <c r="Y87" i="6"/>
  <c r="Y86" i="6"/>
  <c r="Y84" i="6"/>
  <c r="Y83" i="6"/>
  <c r="Y82" i="6"/>
  <c r="Y81" i="6"/>
  <c r="Y80" i="6"/>
  <c r="Y79" i="6"/>
  <c r="Y78" i="6"/>
  <c r="Y74" i="6"/>
  <c r="Y73" i="6"/>
  <c r="Y70" i="6"/>
  <c r="Y67" i="6"/>
  <c r="Y66" i="6"/>
  <c r="Y64" i="6"/>
  <c r="Y63" i="6"/>
  <c r="Y62" i="6"/>
  <c r="Y61" i="6"/>
  <c r="Y59" i="6"/>
  <c r="Y58" i="6"/>
  <c r="Y57" i="6"/>
  <c r="Y56" i="6"/>
  <c r="Y55" i="6"/>
  <c r="Y54" i="6"/>
  <c r="Y51" i="6"/>
  <c r="Y50" i="6"/>
  <c r="Y49" i="6"/>
  <c r="Y47" i="6"/>
  <c r="Y34" i="6"/>
  <c r="Y31" i="6"/>
  <c r="Y30" i="6"/>
  <c r="Y29" i="6"/>
  <c r="Y28" i="6"/>
  <c r="Y27" i="6"/>
  <c r="Y26" i="6"/>
  <c r="Y25" i="6"/>
  <c r="Y24" i="6"/>
  <c r="Y21" i="6"/>
  <c r="Y19" i="6"/>
  <c r="Y18" i="6"/>
  <c r="Y17" i="6"/>
  <c r="Y16" i="6"/>
  <c r="Y15" i="6"/>
  <c r="Y13" i="6"/>
  <c r="Y12" i="6"/>
  <c r="Y11" i="6"/>
  <c r="Y10" i="6"/>
  <c r="AA177" i="6" l="1"/>
  <c r="Y171" i="6"/>
  <c r="Y170" i="6"/>
  <c r="Y169" i="6"/>
  <c r="Y168" i="6"/>
  <c r="Y166" i="6"/>
  <c r="Y165" i="6"/>
  <c r="Y163" i="6"/>
  <c r="Y161" i="6"/>
  <c r="Y159" i="6"/>
  <c r="Y158" i="6"/>
  <c r="Y156" i="6"/>
  <c r="Y154" i="6"/>
  <c r="Y143" i="6"/>
  <c r="Z142" i="6"/>
  <c r="Y142" i="6"/>
  <c r="Y134" i="6"/>
  <c r="Y75" i="6"/>
  <c r="AA45" i="6"/>
  <c r="Z45" i="6"/>
  <c r="Y45" i="6"/>
  <c r="AA44" i="6"/>
  <c r="Z44" i="6"/>
  <c r="Y44" i="6"/>
  <c r="AA43" i="6"/>
  <c r="Z43" i="6"/>
  <c r="Y43" i="6"/>
  <c r="AA42" i="6"/>
  <c r="Z42" i="6"/>
  <c r="AA41" i="6"/>
  <c r="Z41" i="6"/>
  <c r="Y41" i="6"/>
  <c r="AA40" i="6"/>
  <c r="Z40" i="6"/>
  <c r="Y40" i="6"/>
  <c r="AA38" i="6"/>
  <c r="Z38" i="6"/>
  <c r="Y38" i="6"/>
  <c r="AA37" i="6"/>
  <c r="Z37" i="6"/>
  <c r="Y37" i="6"/>
  <c r="Y35" i="6"/>
  <c r="Y33" i="6"/>
  <c r="Y20" i="6"/>
  <c r="G125" i="5" l="1"/>
  <c r="G126" i="5"/>
  <c r="G127" i="5"/>
  <c r="G128" i="5"/>
  <c r="G129" i="5"/>
  <c r="G130" i="5"/>
  <c r="I30" i="7" s="1"/>
  <c r="G131" i="5"/>
  <c r="G124" i="5"/>
  <c r="G111" i="5"/>
  <c r="G112" i="5"/>
  <c r="G113" i="5"/>
  <c r="G114" i="5"/>
  <c r="G115" i="5"/>
  <c r="G116" i="5"/>
  <c r="G117" i="5"/>
  <c r="G118" i="5"/>
  <c r="G121" i="5"/>
  <c r="G122" i="5"/>
  <c r="G108" i="5"/>
  <c r="G109" i="5"/>
  <c r="G107" i="5"/>
  <c r="G65" i="5"/>
  <c r="G66" i="5"/>
  <c r="G67" i="5"/>
  <c r="G68" i="5"/>
  <c r="G69" i="5"/>
  <c r="G70" i="5"/>
  <c r="G71" i="5"/>
  <c r="G72" i="5"/>
  <c r="G76" i="5"/>
  <c r="G77" i="5"/>
  <c r="G78" i="5"/>
  <c r="G80" i="5"/>
  <c r="G81" i="5"/>
  <c r="G82" i="5"/>
  <c r="G83" i="5"/>
  <c r="G84" i="5"/>
  <c r="G85" i="5"/>
  <c r="G86" i="5"/>
  <c r="G87" i="5"/>
  <c r="G88" i="5"/>
  <c r="G89" i="5"/>
  <c r="G90" i="5"/>
  <c r="G91" i="5"/>
  <c r="G92" i="5"/>
  <c r="G93" i="5"/>
  <c r="G94" i="5"/>
  <c r="G95" i="5"/>
  <c r="G96" i="5"/>
  <c r="G97" i="5"/>
  <c r="G98" i="5"/>
  <c r="G99" i="5"/>
  <c r="G100" i="5"/>
  <c r="G101" i="5"/>
  <c r="G102" i="5"/>
  <c r="G103" i="5"/>
  <c r="G104" i="5"/>
  <c r="G64" i="5"/>
  <c r="G56" i="5"/>
  <c r="G57" i="5"/>
  <c r="G58" i="5"/>
  <c r="G59" i="5"/>
  <c r="G60" i="5"/>
  <c r="G61" i="5"/>
  <c r="G62" i="5"/>
  <c r="G55" i="5"/>
  <c r="G33" i="5"/>
  <c r="G34" i="5"/>
  <c r="G35" i="5"/>
  <c r="G36" i="5"/>
  <c r="G37" i="5"/>
  <c r="G38" i="5"/>
  <c r="G39" i="5"/>
  <c r="G40" i="5"/>
  <c r="G41" i="5"/>
  <c r="G42" i="5"/>
  <c r="G43" i="5"/>
  <c r="G44" i="5"/>
  <c r="G45" i="5"/>
  <c r="G46" i="5"/>
  <c r="G47" i="5"/>
  <c r="G48" i="5"/>
  <c r="G49" i="5"/>
  <c r="G50" i="5"/>
  <c r="G51" i="5"/>
  <c r="G52" i="5"/>
  <c r="G53" i="5"/>
  <c r="G32" i="5"/>
  <c r="G20" i="5"/>
  <c r="G21" i="5"/>
  <c r="G22" i="5"/>
  <c r="G23" i="5"/>
  <c r="G24" i="5"/>
  <c r="G25" i="5"/>
  <c r="G26" i="5"/>
  <c r="G27" i="5"/>
  <c r="G28" i="5"/>
  <c r="G29" i="5"/>
  <c r="G30" i="5"/>
  <c r="G19" i="5"/>
  <c r="G11" i="5"/>
  <c r="G12" i="5"/>
  <c r="G13" i="5"/>
  <c r="G14" i="5"/>
  <c r="G15" i="5"/>
  <c r="G16" i="5"/>
  <c r="G10" i="5"/>
  <c r="G8" i="5"/>
  <c r="G6" i="5"/>
  <c r="AA173" i="6" l="1"/>
  <c r="Z173" i="6"/>
  <c r="X166" i="6"/>
  <c r="X161" i="6"/>
  <c r="X159" i="6"/>
  <c r="X156" i="6"/>
  <c r="X154" i="6"/>
  <c r="X144" i="6"/>
  <c r="X102" i="6"/>
  <c r="AA93" i="6"/>
  <c r="Z93" i="6"/>
  <c r="Z91" i="6" s="1"/>
  <c r="I29" i="7"/>
  <c r="C127" i="5"/>
  <c r="C92" i="5"/>
  <c r="C89" i="5"/>
  <c r="C61" i="5"/>
  <c r="C52" i="5"/>
  <c r="C51" i="5"/>
  <c r="C21" i="5"/>
  <c r="AA153" i="6" l="1"/>
  <c r="X78" i="6"/>
  <c r="AA72" i="6"/>
  <c r="X171" i="6"/>
  <c r="X181" i="6"/>
  <c r="Z69" i="6"/>
  <c r="X182" i="6"/>
  <c r="X178" i="6"/>
  <c r="X168" i="6"/>
  <c r="X163" i="6"/>
  <c r="X174" i="6"/>
  <c r="X173" i="6" s="1"/>
  <c r="X160" i="6"/>
  <c r="Y167" i="6"/>
  <c r="AA167" i="6"/>
  <c r="Y173" i="6"/>
  <c r="X169" i="6"/>
  <c r="X165" i="6"/>
  <c r="X151" i="6"/>
  <c r="Z141" i="6"/>
  <c r="Z140" i="6" s="1"/>
  <c r="X145" i="6"/>
  <c r="X150" i="6"/>
  <c r="X147" i="6"/>
  <c r="X139" i="6"/>
  <c r="X135" i="6"/>
  <c r="X99" i="6"/>
  <c r="X96" i="6"/>
  <c r="X105" i="6"/>
  <c r="X114" i="6"/>
  <c r="Y97" i="6"/>
  <c r="Z113" i="6"/>
  <c r="AA106" i="6"/>
  <c r="X81" i="6"/>
  <c r="X84" i="6"/>
  <c r="X86" i="6"/>
  <c r="Z77" i="6"/>
  <c r="AA88" i="6"/>
  <c r="X90" i="6"/>
  <c r="AA77" i="6"/>
  <c r="X82" i="6"/>
  <c r="X74" i="6"/>
  <c r="X75" i="6"/>
  <c r="X70" i="6"/>
  <c r="Z72" i="6"/>
  <c r="Y113" i="6"/>
  <c r="X134" i="6"/>
  <c r="X138" i="6"/>
  <c r="X177" i="6"/>
  <c r="Y72" i="6"/>
  <c r="X148" i="6"/>
  <c r="AA141" i="6"/>
  <c r="AA140" i="6" s="1"/>
  <c r="AA97" i="6"/>
  <c r="AA157" i="6"/>
  <c r="AA162" i="6"/>
  <c r="AA85" i="6"/>
  <c r="Z106" i="6"/>
  <c r="Z153" i="6"/>
  <c r="X103" i="6"/>
  <c r="X142" i="6"/>
  <c r="X87" i="6"/>
  <c r="X94" i="6"/>
  <c r="X93" i="6" s="1"/>
  <c r="Z97" i="6"/>
  <c r="X172" i="6"/>
  <c r="AA179" i="6"/>
  <c r="X100" i="6"/>
  <c r="X104" i="6"/>
  <c r="X127" i="6"/>
  <c r="X132" i="6"/>
  <c r="X164" i="6"/>
  <c r="X80" i="6"/>
  <c r="X117" i="6"/>
  <c r="X51" i="6"/>
  <c r="X73" i="6"/>
  <c r="X115" i="6"/>
  <c r="Y141" i="6"/>
  <c r="Y140" i="6" s="1"/>
  <c r="Z162" i="6"/>
  <c r="X170" i="6"/>
  <c r="Z85" i="6"/>
  <c r="AA113" i="6"/>
  <c r="Z133" i="6"/>
  <c r="Z131" i="6" s="1"/>
  <c r="Z167" i="6"/>
  <c r="X92" i="6"/>
  <c r="X101" i="6"/>
  <c r="X121" i="6"/>
  <c r="X149" i="6"/>
  <c r="Y153" i="6"/>
  <c r="AA69" i="6"/>
  <c r="AA68" i="6" s="1"/>
  <c r="X79" i="6"/>
  <c r="AA133" i="6"/>
  <c r="AA131" i="6" s="1"/>
  <c r="X146" i="6"/>
  <c r="X83" i="6"/>
  <c r="X98" i="6"/>
  <c r="X143" i="6"/>
  <c r="Y93" i="6"/>
  <c r="Y91" i="6" s="1"/>
  <c r="X123" i="6"/>
  <c r="X130" i="6"/>
  <c r="Y77" i="6"/>
  <c r="AA91" i="6"/>
  <c r="AA122" i="6"/>
  <c r="AA120" i="6" s="1"/>
  <c r="X155" i="6"/>
  <c r="X153" i="6" s="1"/>
  <c r="Y162" i="6"/>
  <c r="Y85" i="6"/>
  <c r="Y88" i="6"/>
  <c r="Y157" i="6"/>
  <c r="Z68" i="6" l="1"/>
  <c r="AA152" i="6"/>
  <c r="X85" i="6"/>
  <c r="X113" i="6"/>
  <c r="X72" i="6"/>
  <c r="X141" i="6"/>
  <c r="X140" i="6" s="1"/>
  <c r="Y76" i="6"/>
  <c r="X167" i="6"/>
  <c r="X162" i="6"/>
  <c r="Z95" i="6"/>
  <c r="X97" i="6"/>
  <c r="AA95" i="6"/>
  <c r="X91" i="6"/>
  <c r="AA76" i="6"/>
  <c r="X77" i="6"/>
  <c r="G123" i="5"/>
  <c r="I12" i="7" s="1"/>
  <c r="G110" i="5"/>
  <c r="G106" i="5"/>
  <c r="G63" i="5"/>
  <c r="G54" i="5"/>
  <c r="G31" i="5"/>
  <c r="G18" i="5"/>
  <c r="G9" i="5"/>
  <c r="G7" i="5"/>
  <c r="G5" i="5"/>
  <c r="I28" i="7" l="1"/>
  <c r="I27" i="7"/>
  <c r="G105" i="5"/>
  <c r="I8" i="7" s="1"/>
  <c r="G4" i="5"/>
  <c r="I26" i="7" s="1"/>
  <c r="G17" i="5"/>
  <c r="I36" i="7" l="1"/>
  <c r="G3" i="5"/>
  <c r="G132" i="5" l="1"/>
  <c r="I4" i="7"/>
  <c r="X45" i="6"/>
  <c r="X20" i="6" l="1"/>
  <c r="I21" i="7"/>
  <c r="I16" i="7"/>
  <c r="X27" i="6"/>
  <c r="X31" i="6"/>
  <c r="AA60" i="6"/>
  <c r="X57" i="6"/>
  <c r="X62" i="6"/>
  <c r="X63" i="6"/>
  <c r="X58" i="6"/>
  <c r="X55" i="6"/>
  <c r="X59" i="6"/>
  <c r="X64" i="6"/>
  <c r="AA65" i="6"/>
  <c r="Y53" i="6"/>
  <c r="Z53" i="6"/>
  <c r="AA53" i="6"/>
  <c r="X56" i="6"/>
  <c r="Y60" i="6"/>
  <c r="Z60" i="6"/>
  <c r="Z65" i="6"/>
  <c r="AA48" i="6"/>
  <c r="X50" i="6"/>
  <c r="Y48" i="6"/>
  <c r="Y46" i="6" s="1"/>
  <c r="Z48" i="6"/>
  <c r="X38" i="6"/>
  <c r="X44" i="6"/>
  <c r="X37" i="6"/>
  <c r="X43" i="6"/>
  <c r="X40" i="6"/>
  <c r="Z39" i="6"/>
  <c r="Z36" i="6" s="1"/>
  <c r="AA39" i="6"/>
  <c r="AA36" i="6" s="1"/>
  <c r="X41" i="6"/>
  <c r="X35" i="6"/>
  <c r="X26" i="6"/>
  <c r="X30" i="6"/>
  <c r="Y23" i="6"/>
  <c r="X24" i="6"/>
  <c r="X28" i="6"/>
  <c r="Z32" i="6"/>
  <c r="AA23" i="6"/>
  <c r="AA32" i="6"/>
  <c r="X29" i="6"/>
  <c r="X34" i="6"/>
  <c r="X25" i="6"/>
  <c r="X16" i="6"/>
  <c r="X21" i="6"/>
  <c r="X18" i="6"/>
  <c r="AA9" i="6"/>
  <c r="AA14" i="6"/>
  <c r="X12" i="6"/>
  <c r="Z9" i="6"/>
  <c r="X13" i="6"/>
  <c r="Y9" i="6"/>
  <c r="Y14" i="6"/>
  <c r="X19" i="6"/>
  <c r="AA46" i="6" l="1"/>
  <c r="X49" i="6"/>
  <c r="X48" i="6" s="1"/>
  <c r="AA52" i="6"/>
  <c r="Z52" i="6"/>
  <c r="X54" i="6"/>
  <c r="X53" i="6" s="1"/>
  <c r="Y65" i="6"/>
  <c r="Y52" i="6" s="1"/>
  <c r="X66" i="6"/>
  <c r="X67" i="6"/>
  <c r="X61" i="6"/>
  <c r="X60" i="6" s="1"/>
  <c r="Z46" i="6"/>
  <c r="X47" i="6"/>
  <c r="AA22" i="6"/>
  <c r="Z23" i="6"/>
  <c r="Z22" i="6" s="1"/>
  <c r="X33" i="6"/>
  <c r="X32" i="6" s="1"/>
  <c r="Y32" i="6"/>
  <c r="Y22" i="6" s="1"/>
  <c r="X23" i="6"/>
  <c r="Y8" i="6"/>
  <c r="X15" i="6"/>
  <c r="X11" i="6"/>
  <c r="AA8" i="6"/>
  <c r="X10" i="6"/>
  <c r="X46" i="6" l="1"/>
  <c r="X22" i="6"/>
  <c r="X65" i="6"/>
  <c r="X52" i="6" s="1"/>
  <c r="AA6" i="6"/>
  <c r="I13" i="7" s="1"/>
  <c r="X9" i="6"/>
  <c r="I14" i="7" l="1"/>
  <c r="C18" i="12" l="1"/>
  <c r="E9" i="13" l="1"/>
  <c r="M46" i="13"/>
  <c r="C26" i="12" l="1"/>
  <c r="E28" i="12" l="1"/>
  <c r="E29" i="7"/>
  <c r="W151" i="6"/>
  <c r="V151" i="6"/>
  <c r="U151" i="6"/>
  <c r="S151" i="6"/>
  <c r="R151" i="6"/>
  <c r="Q151" i="6"/>
  <c r="O151" i="6"/>
  <c r="N151" i="6"/>
  <c r="M151" i="6"/>
  <c r="K151" i="6"/>
  <c r="J151" i="6"/>
  <c r="I151" i="6"/>
  <c r="W181" i="6" l="1"/>
  <c r="W180" i="6"/>
  <c r="W178" i="6"/>
  <c r="W155" i="6"/>
  <c r="W150" i="6"/>
  <c r="W149" i="6"/>
  <c r="W148" i="6"/>
  <c r="W147" i="6"/>
  <c r="W146" i="6"/>
  <c r="W145" i="6"/>
  <c r="W144" i="6"/>
  <c r="W143" i="6"/>
  <c r="W142" i="6"/>
  <c r="W139" i="6"/>
  <c r="W138" i="6"/>
  <c r="W137" i="6"/>
  <c r="W136" i="6"/>
  <c r="W135" i="6"/>
  <c r="W134" i="6"/>
  <c r="W132" i="6"/>
  <c r="W130" i="6"/>
  <c r="W129" i="6"/>
  <c r="W128" i="6"/>
  <c r="W127" i="6"/>
  <c r="W126" i="6"/>
  <c r="W125" i="6"/>
  <c r="W124" i="6"/>
  <c r="W123" i="6"/>
  <c r="W121" i="6"/>
  <c r="W119" i="6"/>
  <c r="W118" i="6"/>
  <c r="W117" i="6"/>
  <c r="W116" i="6"/>
  <c r="W115" i="6"/>
  <c r="W114" i="6"/>
  <c r="W112" i="6"/>
  <c r="W111" i="6"/>
  <c r="W110" i="6"/>
  <c r="W109" i="6"/>
  <c r="W108" i="6"/>
  <c r="W107" i="6"/>
  <c r="W105" i="6"/>
  <c r="W104" i="6"/>
  <c r="W103" i="6"/>
  <c r="W102" i="6"/>
  <c r="W101" i="6"/>
  <c r="W100" i="6"/>
  <c r="W99" i="6"/>
  <c r="W98" i="6"/>
  <c r="W96" i="6"/>
  <c r="W94" i="6"/>
  <c r="W92" i="6"/>
  <c r="W90" i="6"/>
  <c r="W89" i="6"/>
  <c r="W87" i="6"/>
  <c r="W86" i="6"/>
  <c r="W84" i="6"/>
  <c r="W83" i="6"/>
  <c r="W82" i="6"/>
  <c r="W81" i="6"/>
  <c r="W80" i="6"/>
  <c r="W79" i="6"/>
  <c r="W78" i="6"/>
  <c r="W75" i="6"/>
  <c r="W74" i="6"/>
  <c r="W73" i="6"/>
  <c r="W71" i="6"/>
  <c r="W70" i="6"/>
  <c r="W67" i="6"/>
  <c r="W66" i="6"/>
  <c r="W64" i="6"/>
  <c r="W63" i="6"/>
  <c r="W62" i="6"/>
  <c r="W61" i="6"/>
  <c r="W59" i="6"/>
  <c r="W58" i="6"/>
  <c r="W57" i="6"/>
  <c r="W56" i="6"/>
  <c r="W55" i="6"/>
  <c r="W54" i="6"/>
  <c r="W51" i="6"/>
  <c r="W50" i="6"/>
  <c r="W49" i="6"/>
  <c r="W47" i="6"/>
  <c r="W45" i="6"/>
  <c r="W44" i="6"/>
  <c r="W43" i="6"/>
  <c r="W42" i="6"/>
  <c r="W41" i="6"/>
  <c r="W40" i="6"/>
  <c r="W38" i="6"/>
  <c r="W37" i="6"/>
  <c r="W35" i="6"/>
  <c r="W34" i="6"/>
  <c r="W33" i="6"/>
  <c r="W31" i="6"/>
  <c r="W30" i="6"/>
  <c r="W29" i="6"/>
  <c r="W28" i="6"/>
  <c r="W27" i="6"/>
  <c r="W26" i="6"/>
  <c r="W25" i="6"/>
  <c r="W24" i="6"/>
  <c r="W21" i="6"/>
  <c r="W20" i="6"/>
  <c r="W19" i="6"/>
  <c r="W18" i="6"/>
  <c r="W17" i="6"/>
  <c r="W16" i="6"/>
  <c r="W15" i="6"/>
  <c r="W13" i="6"/>
  <c r="W12" i="6"/>
  <c r="W11" i="6"/>
  <c r="W10" i="6"/>
  <c r="V182" i="6"/>
  <c r="V181" i="6"/>
  <c r="V178" i="6"/>
  <c r="V155" i="6"/>
  <c r="V150" i="6"/>
  <c r="V149" i="6"/>
  <c r="V148" i="6"/>
  <c r="V146" i="6"/>
  <c r="V145" i="6"/>
  <c r="V144" i="6"/>
  <c r="V143" i="6"/>
  <c r="V142" i="6"/>
  <c r="V139" i="6"/>
  <c r="V138" i="6"/>
  <c r="V137" i="6"/>
  <c r="V136" i="6"/>
  <c r="V135" i="6"/>
  <c r="V134" i="6"/>
  <c r="V132" i="6"/>
  <c r="V130" i="6"/>
  <c r="V129" i="6"/>
  <c r="V127" i="6"/>
  <c r="V126" i="6"/>
  <c r="V125" i="6"/>
  <c r="V124" i="6"/>
  <c r="V123" i="6"/>
  <c r="V121" i="6"/>
  <c r="V119" i="6"/>
  <c r="V117" i="6"/>
  <c r="V116" i="6"/>
  <c r="V115" i="6"/>
  <c r="V114" i="6"/>
  <c r="V112" i="6"/>
  <c r="V111" i="6"/>
  <c r="V110" i="6"/>
  <c r="V109" i="6"/>
  <c r="V108" i="6"/>
  <c r="V107" i="6"/>
  <c r="V105" i="6"/>
  <c r="V104" i="6"/>
  <c r="V103" i="6"/>
  <c r="V102" i="6"/>
  <c r="V101" i="6"/>
  <c r="V100" i="6"/>
  <c r="V99" i="6"/>
  <c r="V98" i="6"/>
  <c r="V96" i="6"/>
  <c r="V94" i="6"/>
  <c r="V93" i="6" s="1"/>
  <c r="V92" i="6"/>
  <c r="V90" i="6"/>
  <c r="V86" i="6"/>
  <c r="V84" i="6"/>
  <c r="V83" i="6"/>
  <c r="V82" i="6"/>
  <c r="V81" i="6"/>
  <c r="V80" i="6"/>
  <c r="V79" i="6"/>
  <c r="V78" i="6"/>
  <c r="V75" i="6"/>
  <c r="V74" i="6"/>
  <c r="V73" i="6"/>
  <c r="V71" i="6"/>
  <c r="V67" i="6"/>
  <c r="V66" i="6"/>
  <c r="V64" i="6"/>
  <c r="V63" i="6"/>
  <c r="V62" i="6"/>
  <c r="V61" i="6"/>
  <c r="V59" i="6"/>
  <c r="V58" i="6"/>
  <c r="V57" i="6"/>
  <c r="V56" i="6"/>
  <c r="V55" i="6"/>
  <c r="V54" i="6"/>
  <c r="V51" i="6"/>
  <c r="V50" i="6"/>
  <c r="V49" i="6"/>
  <c r="V47" i="6"/>
  <c r="V45" i="6"/>
  <c r="V44" i="6"/>
  <c r="V43" i="6"/>
  <c r="V42" i="6"/>
  <c r="V41" i="6"/>
  <c r="V40" i="6"/>
  <c r="V38" i="6"/>
  <c r="V37" i="6"/>
  <c r="V35" i="6"/>
  <c r="V34" i="6"/>
  <c r="V33" i="6"/>
  <c r="V31" i="6"/>
  <c r="V30" i="6"/>
  <c r="V29" i="6"/>
  <c r="V28" i="6"/>
  <c r="V27" i="6"/>
  <c r="V26" i="6"/>
  <c r="V25" i="6"/>
  <c r="V24" i="6"/>
  <c r="V21" i="6"/>
  <c r="V20" i="6"/>
  <c r="V19" i="6"/>
  <c r="V18" i="6"/>
  <c r="V16" i="6"/>
  <c r="V15" i="6"/>
  <c r="V13" i="6"/>
  <c r="V12" i="6"/>
  <c r="V11" i="6"/>
  <c r="V10" i="6"/>
  <c r="U181" i="6"/>
  <c r="U155" i="6"/>
  <c r="U148" i="6"/>
  <c r="U147" i="6"/>
  <c r="U146" i="6"/>
  <c r="U145" i="6"/>
  <c r="U144" i="6"/>
  <c r="U138" i="6"/>
  <c r="U135" i="6"/>
  <c r="U134" i="6"/>
  <c r="U132" i="6"/>
  <c r="U130" i="6"/>
  <c r="U128" i="6"/>
  <c r="U127" i="6"/>
  <c r="U123" i="6"/>
  <c r="U121" i="6"/>
  <c r="U119" i="6"/>
  <c r="U117" i="6"/>
  <c r="U115" i="6"/>
  <c r="U114" i="6"/>
  <c r="U105" i="6"/>
  <c r="U104" i="6"/>
  <c r="U103" i="6"/>
  <c r="U102" i="6"/>
  <c r="U101" i="6"/>
  <c r="U100" i="6"/>
  <c r="U99" i="6"/>
  <c r="U98" i="6"/>
  <c r="U96" i="6"/>
  <c r="U92" i="6"/>
  <c r="U90" i="6"/>
  <c r="U89" i="6"/>
  <c r="U87" i="6"/>
  <c r="U86" i="6"/>
  <c r="U84" i="6"/>
  <c r="U82" i="6"/>
  <c r="U79" i="6"/>
  <c r="U78" i="6"/>
  <c r="U75" i="6"/>
  <c r="U74" i="6"/>
  <c r="U73" i="6"/>
  <c r="U70" i="6"/>
  <c r="U67" i="6"/>
  <c r="U66" i="6"/>
  <c r="U64" i="6"/>
  <c r="U63" i="6"/>
  <c r="U61" i="6"/>
  <c r="U59" i="6"/>
  <c r="U58" i="6"/>
  <c r="U51" i="6"/>
  <c r="U49" i="6"/>
  <c r="U47" i="6"/>
  <c r="U45" i="6"/>
  <c r="U44" i="6"/>
  <c r="U41" i="6"/>
  <c r="U34" i="6"/>
  <c r="U33" i="6"/>
  <c r="U31" i="6"/>
  <c r="U30" i="6"/>
  <c r="U29" i="6"/>
  <c r="U28" i="6"/>
  <c r="U27" i="6"/>
  <c r="U24" i="6"/>
  <c r="U21" i="6"/>
  <c r="U19" i="6"/>
  <c r="U18" i="6"/>
  <c r="U17" i="6"/>
  <c r="U16" i="6"/>
  <c r="U13" i="6"/>
  <c r="U11" i="6"/>
  <c r="U10" i="6"/>
  <c r="J25" i="6"/>
  <c r="S180" i="6"/>
  <c r="Q181" i="6"/>
  <c r="R181" i="6"/>
  <c r="S181" i="6"/>
  <c r="R182" i="6"/>
  <c r="T151" i="6"/>
  <c r="Q96" i="6"/>
  <c r="R96" i="6"/>
  <c r="S96" i="6"/>
  <c r="Q98" i="6"/>
  <c r="R98" i="6"/>
  <c r="S98" i="6"/>
  <c r="S178" i="6"/>
  <c r="S155" i="6"/>
  <c r="S150" i="6"/>
  <c r="S149" i="6"/>
  <c r="S148" i="6"/>
  <c r="S147" i="6"/>
  <c r="S146" i="6"/>
  <c r="S145" i="6"/>
  <c r="S144" i="6"/>
  <c r="S143" i="6"/>
  <c r="S142" i="6"/>
  <c r="S139" i="6"/>
  <c r="S138" i="6"/>
  <c r="S137" i="6"/>
  <c r="S136" i="6"/>
  <c r="S135" i="6"/>
  <c r="S134" i="6"/>
  <c r="S132" i="6"/>
  <c r="S130" i="6"/>
  <c r="S129" i="6"/>
  <c r="S128" i="6"/>
  <c r="S127" i="6"/>
  <c r="S126" i="6"/>
  <c r="S125" i="6"/>
  <c r="S124" i="6"/>
  <c r="S123" i="6"/>
  <c r="S121" i="6"/>
  <c r="S119" i="6"/>
  <c r="S118" i="6"/>
  <c r="S117" i="6"/>
  <c r="S116" i="6"/>
  <c r="S115" i="6"/>
  <c r="S114" i="6"/>
  <c r="S112" i="6"/>
  <c r="S111" i="6"/>
  <c r="S110" i="6"/>
  <c r="S109" i="6"/>
  <c r="S108" i="6"/>
  <c r="S107" i="6"/>
  <c r="S105" i="6"/>
  <c r="S104" i="6"/>
  <c r="S103" i="6"/>
  <c r="S102" i="6"/>
  <c r="S101" i="6"/>
  <c r="S100" i="6"/>
  <c r="S99" i="6"/>
  <c r="S94" i="6"/>
  <c r="S93" i="6" s="1"/>
  <c r="S92" i="6"/>
  <c r="S90" i="6"/>
  <c r="S89" i="6"/>
  <c r="S87" i="6"/>
  <c r="S86" i="6"/>
  <c r="S84" i="6"/>
  <c r="S83" i="6"/>
  <c r="S82" i="6"/>
  <c r="S81" i="6"/>
  <c r="S80" i="6"/>
  <c r="S79" i="6"/>
  <c r="S78" i="6"/>
  <c r="S75" i="6"/>
  <c r="S74" i="6"/>
  <c r="S73" i="6"/>
  <c r="S71" i="6"/>
  <c r="S70" i="6"/>
  <c r="S67" i="6"/>
  <c r="S66" i="6"/>
  <c r="S64" i="6"/>
  <c r="S63" i="6"/>
  <c r="S62" i="6"/>
  <c r="S61" i="6"/>
  <c r="S59" i="6"/>
  <c r="S58" i="6"/>
  <c r="S57" i="6"/>
  <c r="S56" i="6"/>
  <c r="S55" i="6"/>
  <c r="S54" i="6"/>
  <c r="S51" i="6"/>
  <c r="S50" i="6"/>
  <c r="S49" i="6"/>
  <c r="S47" i="6"/>
  <c r="S45" i="6"/>
  <c r="S44" i="6"/>
  <c r="S43" i="6"/>
  <c r="S42" i="6"/>
  <c r="S41" i="6"/>
  <c r="S40" i="6"/>
  <c r="S38" i="6"/>
  <c r="S37" i="6"/>
  <c r="S35" i="6"/>
  <c r="S34" i="6"/>
  <c r="S33" i="6"/>
  <c r="S31" i="6"/>
  <c r="S30" i="6"/>
  <c r="S29" i="6"/>
  <c r="S28" i="6"/>
  <c r="S27" i="6"/>
  <c r="S26" i="6"/>
  <c r="S25" i="6"/>
  <c r="S24" i="6"/>
  <c r="S21" i="6"/>
  <c r="S20" i="6"/>
  <c r="S19" i="6"/>
  <c r="S18" i="6"/>
  <c r="S17" i="6"/>
  <c r="S16" i="6"/>
  <c r="S15" i="6"/>
  <c r="S13" i="6"/>
  <c r="S12" i="6"/>
  <c r="S11" i="6"/>
  <c r="S10" i="6"/>
  <c r="R178" i="6"/>
  <c r="R155" i="6"/>
  <c r="R150" i="6"/>
  <c r="R149" i="6"/>
  <c r="R148" i="6"/>
  <c r="R146" i="6"/>
  <c r="R145" i="6"/>
  <c r="R144" i="6"/>
  <c r="R143" i="6"/>
  <c r="R142" i="6"/>
  <c r="R139" i="6"/>
  <c r="R138" i="6"/>
  <c r="R137" i="6"/>
  <c r="R135" i="6"/>
  <c r="R134" i="6"/>
  <c r="R132" i="6"/>
  <c r="R130" i="6"/>
  <c r="R129" i="6"/>
  <c r="R128" i="6"/>
  <c r="R127" i="6"/>
  <c r="R126" i="6"/>
  <c r="R125" i="6"/>
  <c r="R124" i="6"/>
  <c r="R123" i="6"/>
  <c r="R121" i="6"/>
  <c r="R119" i="6"/>
  <c r="R117" i="6"/>
  <c r="R116" i="6"/>
  <c r="R115" i="6"/>
  <c r="R114" i="6"/>
  <c r="R112" i="6"/>
  <c r="R111" i="6"/>
  <c r="R110" i="6"/>
  <c r="R109" i="6"/>
  <c r="R108" i="6"/>
  <c r="R107" i="6"/>
  <c r="R105" i="6"/>
  <c r="R104" i="6"/>
  <c r="R103" i="6"/>
  <c r="R102" i="6"/>
  <c r="R101" i="6"/>
  <c r="R100" i="6"/>
  <c r="R99" i="6"/>
  <c r="R94" i="6"/>
  <c r="R93" i="6" s="1"/>
  <c r="R92" i="6"/>
  <c r="R90" i="6"/>
  <c r="R86" i="6"/>
  <c r="R84" i="6"/>
  <c r="R83" i="6"/>
  <c r="R82" i="6"/>
  <c r="R81" i="6"/>
  <c r="R80" i="6"/>
  <c r="R79" i="6"/>
  <c r="R78" i="6"/>
  <c r="R75" i="6"/>
  <c r="R74" i="6"/>
  <c r="R73" i="6"/>
  <c r="R71" i="6"/>
  <c r="R67" i="6"/>
  <c r="R66" i="6"/>
  <c r="R64" i="6"/>
  <c r="R63" i="6"/>
  <c r="R62" i="6"/>
  <c r="R61" i="6"/>
  <c r="R59" i="6"/>
  <c r="R58" i="6"/>
  <c r="R57" i="6"/>
  <c r="R56" i="6"/>
  <c r="R55" i="6"/>
  <c r="R54" i="6"/>
  <c r="R51" i="6"/>
  <c r="R50" i="6"/>
  <c r="R49" i="6"/>
  <c r="R47" i="6"/>
  <c r="R45" i="6"/>
  <c r="R44" i="6"/>
  <c r="R43" i="6"/>
  <c r="R42" i="6"/>
  <c r="R41" i="6"/>
  <c r="R40" i="6"/>
  <c r="R38" i="6"/>
  <c r="R37" i="6"/>
  <c r="R35" i="6"/>
  <c r="R34" i="6"/>
  <c r="R33" i="6"/>
  <c r="R31" i="6"/>
  <c r="R30" i="6"/>
  <c r="R29" i="6"/>
  <c r="R28" i="6"/>
  <c r="R27" i="6"/>
  <c r="R26" i="6"/>
  <c r="R25" i="6"/>
  <c r="R24" i="6"/>
  <c r="R21" i="6"/>
  <c r="R20" i="6"/>
  <c r="R19" i="6"/>
  <c r="R18" i="6"/>
  <c r="R17" i="6"/>
  <c r="R16" i="6"/>
  <c r="R15" i="6"/>
  <c r="R13" i="6"/>
  <c r="R12" i="6"/>
  <c r="R11" i="6"/>
  <c r="R10" i="6"/>
  <c r="Q155" i="6"/>
  <c r="Q148" i="6"/>
  <c r="Q146" i="6"/>
  <c r="Q145" i="6"/>
  <c r="Q144" i="6"/>
  <c r="Q128" i="6"/>
  <c r="Q127" i="6"/>
  <c r="Q121" i="6"/>
  <c r="Q119" i="6"/>
  <c r="Q117" i="6"/>
  <c r="Q116" i="6"/>
  <c r="Q115" i="6"/>
  <c r="Q114" i="6"/>
  <c r="Q105" i="6"/>
  <c r="Q104" i="6"/>
  <c r="Q103" i="6"/>
  <c r="Q102" i="6"/>
  <c r="Q101" i="6"/>
  <c r="Q100" i="6"/>
  <c r="Q99" i="6"/>
  <c r="Q92" i="6"/>
  <c r="Q90" i="6"/>
  <c r="Q89" i="6"/>
  <c r="Q87" i="6"/>
  <c r="Q86" i="6"/>
  <c r="Q84" i="6"/>
  <c r="Q82" i="6"/>
  <c r="Q79" i="6"/>
  <c r="Q78" i="6"/>
  <c r="Q74" i="6"/>
  <c r="Q73" i="6"/>
  <c r="Q70" i="6"/>
  <c r="Q67" i="6"/>
  <c r="Q66" i="6"/>
  <c r="Q64" i="6"/>
  <c r="Q63" i="6"/>
  <c r="Q62" i="6"/>
  <c r="Q61" i="6"/>
  <c r="Q59" i="6"/>
  <c r="Q58" i="6"/>
  <c r="Q51" i="6"/>
  <c r="Q49" i="6"/>
  <c r="Q47" i="6"/>
  <c r="Q45" i="6"/>
  <c r="Q44" i="6"/>
  <c r="Q41" i="6"/>
  <c r="Q37" i="6"/>
  <c r="Q34" i="6"/>
  <c r="Q33" i="6"/>
  <c r="Q31" i="6"/>
  <c r="Q30" i="6"/>
  <c r="Q29" i="6"/>
  <c r="Q28" i="6"/>
  <c r="Q27" i="6"/>
  <c r="Q24" i="6"/>
  <c r="Q21" i="6"/>
  <c r="Q20" i="6"/>
  <c r="Q19" i="6"/>
  <c r="Q18" i="6"/>
  <c r="Q17" i="6"/>
  <c r="Q16" i="6"/>
  <c r="Q13" i="6"/>
  <c r="Q11" i="6"/>
  <c r="Q10" i="6"/>
  <c r="O182" i="6"/>
  <c r="O181" i="6"/>
  <c r="O180" i="6"/>
  <c r="O178" i="6"/>
  <c r="O155" i="6"/>
  <c r="L151" i="6"/>
  <c r="O150" i="6"/>
  <c r="O149" i="6"/>
  <c r="O148" i="6"/>
  <c r="O147" i="6"/>
  <c r="O146" i="6"/>
  <c r="O145" i="6"/>
  <c r="O144" i="6"/>
  <c r="O143" i="6"/>
  <c r="O142" i="6"/>
  <c r="O139" i="6"/>
  <c r="O138" i="6"/>
  <c r="O137" i="6"/>
  <c r="O136" i="6"/>
  <c r="O135" i="6"/>
  <c r="O134" i="6"/>
  <c r="O132" i="6"/>
  <c r="O130" i="6"/>
  <c r="O129" i="6"/>
  <c r="O128" i="6"/>
  <c r="O127" i="6"/>
  <c r="O126" i="6"/>
  <c r="O125" i="6"/>
  <c r="O124" i="6"/>
  <c r="O123" i="6"/>
  <c r="O121" i="6"/>
  <c r="O119" i="6"/>
  <c r="O118" i="6"/>
  <c r="O117" i="6"/>
  <c r="O116" i="6"/>
  <c r="O115" i="6"/>
  <c r="O114" i="6"/>
  <c r="O112" i="6"/>
  <c r="O111" i="6"/>
  <c r="O110" i="6"/>
  <c r="O109" i="6"/>
  <c r="O108" i="6"/>
  <c r="O107" i="6"/>
  <c r="O105" i="6"/>
  <c r="O104" i="6"/>
  <c r="O103" i="6"/>
  <c r="O102" i="6"/>
  <c r="O101" i="6"/>
  <c r="O100" i="6"/>
  <c r="O99" i="6"/>
  <c r="O98" i="6"/>
  <c r="O96" i="6"/>
  <c r="O94" i="6"/>
  <c r="O93" i="6" s="1"/>
  <c r="O92" i="6"/>
  <c r="O90" i="6"/>
  <c r="O89" i="6"/>
  <c r="O87" i="6"/>
  <c r="O86" i="6"/>
  <c r="O84" i="6"/>
  <c r="O83" i="6"/>
  <c r="O82" i="6"/>
  <c r="O81" i="6"/>
  <c r="O80" i="6"/>
  <c r="O79" i="6"/>
  <c r="O78" i="6"/>
  <c r="O75" i="6"/>
  <c r="O74" i="6"/>
  <c r="O73" i="6"/>
  <c r="O71" i="6"/>
  <c r="O70" i="6"/>
  <c r="O67" i="6"/>
  <c r="O66" i="6"/>
  <c r="O64" i="6"/>
  <c r="O63" i="6"/>
  <c r="O62" i="6"/>
  <c r="O61" i="6"/>
  <c r="O59" i="6"/>
  <c r="O58" i="6"/>
  <c r="O57" i="6"/>
  <c r="O56" i="6"/>
  <c r="O55" i="6"/>
  <c r="O54" i="6"/>
  <c r="O51" i="6"/>
  <c r="O50" i="6"/>
  <c r="O49" i="6"/>
  <c r="O47" i="6"/>
  <c r="O45" i="6"/>
  <c r="O44" i="6"/>
  <c r="O43" i="6"/>
  <c r="O42" i="6"/>
  <c r="O41" i="6"/>
  <c r="O40" i="6"/>
  <c r="O38" i="6"/>
  <c r="O37" i="6"/>
  <c r="O35" i="6"/>
  <c r="O34" i="6"/>
  <c r="O33" i="6"/>
  <c r="O31" i="6"/>
  <c r="O30" i="6"/>
  <c r="O29" i="6"/>
  <c r="O28" i="6"/>
  <c r="O27" i="6"/>
  <c r="O26" i="6"/>
  <c r="O25" i="6"/>
  <c r="O24" i="6"/>
  <c r="O21" i="6"/>
  <c r="O20" i="6"/>
  <c r="O19" i="6"/>
  <c r="O18" i="6"/>
  <c r="O17" i="6"/>
  <c r="O16" i="6"/>
  <c r="O15" i="6"/>
  <c r="O13" i="6"/>
  <c r="O12" i="6"/>
  <c r="O11" i="6"/>
  <c r="O10" i="6"/>
  <c r="N182" i="6"/>
  <c r="N181" i="6"/>
  <c r="N180" i="6"/>
  <c r="N178" i="6"/>
  <c r="N155" i="6"/>
  <c r="N150" i="6"/>
  <c r="N149" i="6"/>
  <c r="N148" i="6"/>
  <c r="N146" i="6"/>
  <c r="N145" i="6"/>
  <c r="N144" i="6"/>
  <c r="N143" i="6"/>
  <c r="N142" i="6"/>
  <c r="N139" i="6"/>
  <c r="N138" i="6"/>
  <c r="N137" i="6"/>
  <c r="N135" i="6"/>
  <c r="N134" i="6"/>
  <c r="N132" i="6"/>
  <c r="N130" i="6"/>
  <c r="N129" i="6"/>
  <c r="N128" i="6"/>
  <c r="N127" i="6"/>
  <c r="N126" i="6"/>
  <c r="N125" i="6"/>
  <c r="N124" i="6"/>
  <c r="N123" i="6"/>
  <c r="N121" i="6"/>
  <c r="N119" i="6"/>
  <c r="N118" i="6"/>
  <c r="N117" i="6"/>
  <c r="N116" i="6"/>
  <c r="N115" i="6"/>
  <c r="N114" i="6"/>
  <c r="N112" i="6"/>
  <c r="N111" i="6"/>
  <c r="N110" i="6"/>
  <c r="N109" i="6"/>
  <c r="N108" i="6"/>
  <c r="N107" i="6"/>
  <c r="N105" i="6"/>
  <c r="N104" i="6"/>
  <c r="N103" i="6"/>
  <c r="N102" i="6"/>
  <c r="N101" i="6"/>
  <c r="N100" i="6"/>
  <c r="N99" i="6"/>
  <c r="N98" i="6"/>
  <c r="N96" i="6"/>
  <c r="N94" i="6"/>
  <c r="N93" i="6" s="1"/>
  <c r="N92" i="6"/>
  <c r="N90" i="6"/>
  <c r="N89" i="6"/>
  <c r="N87" i="6"/>
  <c r="N86" i="6"/>
  <c r="N83" i="6"/>
  <c r="N82" i="6"/>
  <c r="N81" i="6"/>
  <c r="N80" i="6"/>
  <c r="N79" i="6"/>
  <c r="N78" i="6"/>
  <c r="N75" i="6"/>
  <c r="N74" i="6"/>
  <c r="N73" i="6"/>
  <c r="N71" i="6"/>
  <c r="N70" i="6"/>
  <c r="N67" i="6"/>
  <c r="N66" i="6"/>
  <c r="N64" i="6"/>
  <c r="N63" i="6"/>
  <c r="N62" i="6"/>
  <c r="N61" i="6"/>
  <c r="N59" i="6"/>
  <c r="N58" i="6"/>
  <c r="N57" i="6"/>
  <c r="N56" i="6"/>
  <c r="N55" i="6"/>
  <c r="N54" i="6"/>
  <c r="N51" i="6"/>
  <c r="N50" i="6"/>
  <c r="N49" i="6"/>
  <c r="N47" i="6"/>
  <c r="N45" i="6"/>
  <c r="N44" i="6"/>
  <c r="N43" i="6"/>
  <c r="N42" i="6"/>
  <c r="N41" i="6"/>
  <c r="N40" i="6"/>
  <c r="N38" i="6"/>
  <c r="N37" i="6"/>
  <c r="N35" i="6"/>
  <c r="N34" i="6"/>
  <c r="N33" i="6"/>
  <c r="N31" i="6"/>
  <c r="N30" i="6"/>
  <c r="N29" i="6"/>
  <c r="N28" i="6"/>
  <c r="N27" i="6"/>
  <c r="N26" i="6"/>
  <c r="N25" i="6"/>
  <c r="N24" i="6"/>
  <c r="N21" i="6"/>
  <c r="N20" i="6"/>
  <c r="N19" i="6"/>
  <c r="N18" i="6"/>
  <c r="N17" i="6"/>
  <c r="N16" i="6"/>
  <c r="N15" i="6"/>
  <c r="N13" i="6"/>
  <c r="N12" i="6"/>
  <c r="N11" i="6"/>
  <c r="N10" i="6"/>
  <c r="M182" i="6"/>
  <c r="M181" i="6"/>
  <c r="M180" i="6"/>
  <c r="M178" i="6"/>
  <c r="M155" i="6"/>
  <c r="M149" i="6"/>
  <c r="M148" i="6"/>
  <c r="M147" i="6"/>
  <c r="M146" i="6"/>
  <c r="M145" i="6"/>
  <c r="M144" i="6"/>
  <c r="M143" i="6"/>
  <c r="M142" i="6"/>
  <c r="M139" i="6"/>
  <c r="M138" i="6"/>
  <c r="M137" i="6"/>
  <c r="M136" i="6"/>
  <c r="M135" i="6"/>
  <c r="M134" i="6"/>
  <c r="M132" i="6"/>
  <c r="M130" i="6"/>
  <c r="M129" i="6"/>
  <c r="M128" i="6"/>
  <c r="M127" i="6"/>
  <c r="M126" i="6"/>
  <c r="M125" i="6"/>
  <c r="M124" i="6"/>
  <c r="M123" i="6"/>
  <c r="M121" i="6"/>
  <c r="M119" i="6"/>
  <c r="M118" i="6"/>
  <c r="M117" i="6"/>
  <c r="M116" i="6"/>
  <c r="M115" i="6"/>
  <c r="M114" i="6"/>
  <c r="M112" i="6"/>
  <c r="M111" i="6"/>
  <c r="M110" i="6"/>
  <c r="M109" i="6"/>
  <c r="M108" i="6"/>
  <c r="M107" i="6"/>
  <c r="M105" i="6"/>
  <c r="M104" i="6"/>
  <c r="M103" i="6"/>
  <c r="M102" i="6"/>
  <c r="M101" i="6"/>
  <c r="M100" i="6"/>
  <c r="M99" i="6"/>
  <c r="M98" i="6"/>
  <c r="M96" i="6"/>
  <c r="M94" i="6"/>
  <c r="M93" i="6" s="1"/>
  <c r="M92" i="6"/>
  <c r="M90" i="6"/>
  <c r="M89" i="6"/>
  <c r="M86" i="6"/>
  <c r="M84" i="6"/>
  <c r="M82" i="6"/>
  <c r="M80" i="6"/>
  <c r="M79" i="6"/>
  <c r="M78" i="6"/>
  <c r="M75" i="6"/>
  <c r="M74" i="6"/>
  <c r="M73" i="6"/>
  <c r="M71" i="6"/>
  <c r="M70" i="6"/>
  <c r="M67" i="6"/>
  <c r="M66" i="6"/>
  <c r="M64" i="6"/>
  <c r="M63" i="6"/>
  <c r="M62" i="6"/>
  <c r="M61" i="6"/>
  <c r="M59" i="6"/>
  <c r="M58" i="6"/>
  <c r="M57" i="6"/>
  <c r="M56" i="6"/>
  <c r="M54" i="6"/>
  <c r="M51" i="6"/>
  <c r="M50" i="6"/>
  <c r="M49" i="6"/>
  <c r="M47" i="6"/>
  <c r="M45" i="6"/>
  <c r="M44" i="6"/>
  <c r="M43" i="6"/>
  <c r="M42" i="6"/>
  <c r="M41" i="6"/>
  <c r="M40" i="6"/>
  <c r="M38" i="6"/>
  <c r="M37" i="6"/>
  <c r="M35" i="6"/>
  <c r="M34" i="6"/>
  <c r="M33" i="6"/>
  <c r="M31" i="6"/>
  <c r="M30" i="6"/>
  <c r="M29" i="6"/>
  <c r="M28" i="6"/>
  <c r="M27" i="6"/>
  <c r="M26" i="6"/>
  <c r="M25" i="6"/>
  <c r="M24" i="6"/>
  <c r="M21" i="6"/>
  <c r="M20" i="6"/>
  <c r="M19" i="6"/>
  <c r="M18" i="6"/>
  <c r="M17" i="6"/>
  <c r="M16" i="6"/>
  <c r="M15" i="6"/>
  <c r="M13" i="6"/>
  <c r="M12" i="6"/>
  <c r="M11" i="6"/>
  <c r="M10" i="6"/>
  <c r="L102" i="6" l="1"/>
  <c r="L130" i="6"/>
  <c r="O72" i="6"/>
  <c r="V72" i="6"/>
  <c r="M72" i="6"/>
  <c r="M69" i="6"/>
  <c r="L146" i="6"/>
  <c r="M88" i="6"/>
  <c r="R65" i="6"/>
  <c r="L67" i="6"/>
  <c r="L35" i="6"/>
  <c r="L51" i="6"/>
  <c r="L20" i="6"/>
  <c r="T127" i="6"/>
  <c r="M48" i="6"/>
  <c r="M46" i="6" s="1"/>
  <c r="W48" i="6"/>
  <c r="W46" i="6" s="1"/>
  <c r="W65" i="6"/>
  <c r="M113" i="6"/>
  <c r="N65" i="6"/>
  <c r="O91" i="6"/>
  <c r="S88" i="6"/>
  <c r="T66" i="6"/>
  <c r="T11" i="6"/>
  <c r="T90" i="6"/>
  <c r="T121" i="6"/>
  <c r="V32" i="6"/>
  <c r="V48" i="6"/>
  <c r="V46" i="6" s="1"/>
  <c r="V113" i="6"/>
  <c r="V65" i="6"/>
  <c r="T19" i="6"/>
  <c r="U32" i="6"/>
  <c r="T119" i="6"/>
  <c r="R32" i="6"/>
  <c r="R48" i="6"/>
  <c r="R46" i="6" s="1"/>
  <c r="O65" i="6"/>
  <c r="W14" i="6"/>
  <c r="T105" i="6"/>
  <c r="L56" i="6"/>
  <c r="U72" i="6"/>
  <c r="L135" i="6"/>
  <c r="L25" i="6"/>
  <c r="L119" i="6"/>
  <c r="L80" i="6"/>
  <c r="T103" i="6"/>
  <c r="L104" i="6"/>
  <c r="N91" i="6"/>
  <c r="T51" i="6"/>
  <c r="T67" i="6"/>
  <c r="T84" i="6"/>
  <c r="T102" i="6"/>
  <c r="T130" i="6"/>
  <c r="T146" i="6"/>
  <c r="N88" i="6"/>
  <c r="N14" i="6"/>
  <c r="T117" i="6"/>
  <c r="L149" i="6"/>
  <c r="O69" i="6"/>
  <c r="W69" i="6"/>
  <c r="W85" i="6"/>
  <c r="N32" i="6"/>
  <c r="O88" i="6"/>
  <c r="P28" i="6"/>
  <c r="P59" i="6"/>
  <c r="W88" i="6"/>
  <c r="N69" i="6"/>
  <c r="N85" i="6"/>
  <c r="V53" i="6"/>
  <c r="N72" i="6"/>
  <c r="M32" i="6"/>
  <c r="P20" i="6"/>
  <c r="P51" i="6"/>
  <c r="P67" i="6"/>
  <c r="P84" i="6"/>
  <c r="P104" i="6"/>
  <c r="P148" i="6"/>
  <c r="T34" i="6"/>
  <c r="T101" i="6"/>
  <c r="T115" i="6"/>
  <c r="T148" i="6"/>
  <c r="V9" i="6"/>
  <c r="L27" i="6"/>
  <c r="L75" i="6"/>
  <c r="Q72" i="6"/>
  <c r="W32" i="6"/>
  <c r="W60" i="6"/>
  <c r="W97" i="6"/>
  <c r="W113" i="6"/>
  <c r="W141" i="6"/>
  <c r="W140" i="6" s="1"/>
  <c r="L155" i="6"/>
  <c r="T134" i="6"/>
  <c r="L78" i="6"/>
  <c r="L109" i="6"/>
  <c r="L59" i="6"/>
  <c r="L138" i="6"/>
  <c r="P63" i="6"/>
  <c r="P115" i="6"/>
  <c r="L43" i="6"/>
  <c r="L124" i="6"/>
  <c r="P18" i="6"/>
  <c r="L13" i="6"/>
  <c r="L115" i="6"/>
  <c r="L129" i="6"/>
  <c r="L145" i="6"/>
  <c r="N106" i="6"/>
  <c r="P121" i="6"/>
  <c r="T145" i="6"/>
  <c r="P29" i="6"/>
  <c r="L112" i="6"/>
  <c r="S91" i="6"/>
  <c r="T21" i="6"/>
  <c r="S133" i="6"/>
  <c r="S131" i="6" s="1"/>
  <c r="U65" i="6"/>
  <c r="W106" i="6"/>
  <c r="W122" i="6"/>
  <c r="W120" i="6" s="1"/>
  <c r="W133" i="6"/>
  <c r="W131" i="6" s="1"/>
  <c r="S69" i="6"/>
  <c r="S85" i="6"/>
  <c r="M141" i="6"/>
  <c r="L31" i="6"/>
  <c r="L47" i="6"/>
  <c r="L99" i="6"/>
  <c r="L143" i="6"/>
  <c r="T18" i="6"/>
  <c r="T64" i="6"/>
  <c r="T82" i="6"/>
  <c r="T100" i="6"/>
  <c r="S72" i="6"/>
  <c r="R91" i="6"/>
  <c r="S113" i="6"/>
  <c r="V97" i="6"/>
  <c r="V141" i="6"/>
  <c r="W77" i="6"/>
  <c r="P27" i="6"/>
  <c r="P58" i="6"/>
  <c r="O133" i="6"/>
  <c r="O131" i="6" s="1"/>
  <c r="O179" i="6"/>
  <c r="P181" i="6"/>
  <c r="M60" i="6"/>
  <c r="M91" i="6"/>
  <c r="O39" i="6"/>
  <c r="O36" i="6" s="1"/>
  <c r="T41" i="6"/>
  <c r="V39" i="6"/>
  <c r="V36" i="6" s="1"/>
  <c r="L40" i="6"/>
  <c r="M179" i="6"/>
  <c r="T75" i="6"/>
  <c r="L29" i="6"/>
  <c r="L110" i="6"/>
  <c r="P31" i="6"/>
  <c r="P47" i="6"/>
  <c r="P101" i="6"/>
  <c r="P145" i="6"/>
  <c r="L11" i="6"/>
  <c r="L24" i="6"/>
  <c r="L38" i="6"/>
  <c r="T135" i="6"/>
  <c r="T13" i="6"/>
  <c r="T138" i="6"/>
  <c r="T155" i="6"/>
  <c r="Q88" i="6"/>
  <c r="P92" i="6"/>
  <c r="R60" i="6"/>
  <c r="R113" i="6"/>
  <c r="R141" i="6"/>
  <c r="S32" i="6"/>
  <c r="S65" i="6"/>
  <c r="P13" i="6"/>
  <c r="Q113" i="6"/>
  <c r="L15" i="6"/>
  <c r="N113" i="6"/>
  <c r="N141" i="6"/>
  <c r="O23" i="6"/>
  <c r="P17" i="6"/>
  <c r="T181" i="6"/>
  <c r="L86" i="6"/>
  <c r="S9" i="6"/>
  <c r="S39" i="6"/>
  <c r="S36" i="6" s="1"/>
  <c r="S106" i="6"/>
  <c r="T74" i="6"/>
  <c r="L118" i="6"/>
  <c r="L148" i="6"/>
  <c r="O113" i="6"/>
  <c r="Q65" i="6"/>
  <c r="N53" i="6"/>
  <c r="R72" i="6"/>
  <c r="S14" i="6"/>
  <c r="S60" i="6"/>
  <c r="L58" i="6"/>
  <c r="L18" i="6"/>
  <c r="L64" i="6"/>
  <c r="L128" i="6"/>
  <c r="L16" i="6"/>
  <c r="L45" i="6"/>
  <c r="L98" i="6"/>
  <c r="L111" i="6"/>
  <c r="S53" i="6"/>
  <c r="Q97" i="6"/>
  <c r="W53" i="6"/>
  <c r="R14" i="6"/>
  <c r="T16" i="6"/>
  <c r="V23" i="6"/>
  <c r="T45" i="6"/>
  <c r="V77" i="6"/>
  <c r="T28" i="6"/>
  <c r="T59" i="6"/>
  <c r="O141" i="6"/>
  <c r="O140" i="6" s="1"/>
  <c r="P64" i="6"/>
  <c r="P82" i="6"/>
  <c r="P116" i="6"/>
  <c r="P146" i="6"/>
  <c r="S97" i="6"/>
  <c r="O14" i="6"/>
  <c r="O106" i="6"/>
  <c r="L21" i="6"/>
  <c r="L103" i="6"/>
  <c r="L117" i="6"/>
  <c r="P128" i="6"/>
  <c r="P144" i="6"/>
  <c r="P21" i="6"/>
  <c r="P86" i="6"/>
  <c r="P105" i="6"/>
  <c r="P119" i="6"/>
  <c r="L41" i="6"/>
  <c r="L57" i="6"/>
  <c r="L107" i="6"/>
  <c r="L121" i="6"/>
  <c r="L182" i="6"/>
  <c r="P19" i="6"/>
  <c r="P34" i="6"/>
  <c r="P103" i="6"/>
  <c r="P117" i="6"/>
  <c r="T132" i="6"/>
  <c r="T104" i="6"/>
  <c r="P11" i="6"/>
  <c r="R23" i="6"/>
  <c r="P41" i="6"/>
  <c r="P90" i="6"/>
  <c r="R122" i="6"/>
  <c r="R120" i="6" s="1"/>
  <c r="P155" i="6"/>
  <c r="P44" i="6"/>
  <c r="P127" i="6"/>
  <c r="T44" i="6"/>
  <c r="T61" i="6"/>
  <c r="T27" i="6"/>
  <c r="T58" i="6"/>
  <c r="V106" i="6"/>
  <c r="T123" i="6"/>
  <c r="W9" i="6"/>
  <c r="W23" i="6"/>
  <c r="W39" i="6"/>
  <c r="W36" i="6" s="1"/>
  <c r="W72" i="6"/>
  <c r="L139" i="6"/>
  <c r="R97" i="6"/>
  <c r="L89" i="6"/>
  <c r="L181" i="6"/>
  <c r="L33" i="6"/>
  <c r="O48" i="6"/>
  <c r="O46" i="6" s="1"/>
  <c r="P102" i="6"/>
  <c r="V133" i="6"/>
  <c r="V131" i="6" s="1"/>
  <c r="T31" i="6"/>
  <c r="L74" i="6"/>
  <c r="L71" i="6"/>
  <c r="P30" i="6"/>
  <c r="R9" i="6"/>
  <c r="T78" i="6"/>
  <c r="U113" i="6"/>
  <c r="T63" i="6"/>
  <c r="M9" i="6"/>
  <c r="M133" i="6"/>
  <c r="M131" i="6" s="1"/>
  <c r="P61" i="6"/>
  <c r="P74" i="6"/>
  <c r="Q85" i="6"/>
  <c r="V91" i="6"/>
  <c r="Q32" i="6"/>
  <c r="R53" i="6"/>
  <c r="T29" i="6"/>
  <c r="W93" i="6"/>
  <c r="W91" i="6" s="1"/>
  <c r="P96" i="6"/>
  <c r="L137" i="6"/>
  <c r="O9" i="6"/>
  <c r="T30" i="6"/>
  <c r="N9" i="6"/>
  <c r="L94" i="6"/>
  <c r="L93" i="6" s="1"/>
  <c r="L26" i="6"/>
  <c r="L44" i="6"/>
  <c r="L90" i="6"/>
  <c r="R106" i="6"/>
  <c r="M23" i="6"/>
  <c r="L54" i="6"/>
  <c r="L82" i="6"/>
  <c r="N23" i="6"/>
  <c r="L108" i="6"/>
  <c r="S23" i="6"/>
  <c r="P100" i="6"/>
  <c r="S48" i="6"/>
  <c r="S46" i="6" s="1"/>
  <c r="L34" i="6"/>
  <c r="L66" i="6"/>
  <c r="L127" i="6"/>
  <c r="P98" i="6"/>
  <c r="L144" i="6"/>
  <c r="L37" i="6"/>
  <c r="L132" i="6"/>
  <c r="L178" i="6"/>
  <c r="L50" i="6"/>
  <c r="L63" i="6"/>
  <c r="L142" i="6"/>
  <c r="P66" i="6"/>
  <c r="T98" i="6"/>
  <c r="T10" i="6"/>
  <c r="T144" i="6"/>
  <c r="T86" i="6"/>
  <c r="V60" i="6"/>
  <c r="T47" i="6"/>
  <c r="U97" i="6"/>
  <c r="U88" i="6"/>
  <c r="U85" i="6"/>
  <c r="T96" i="6"/>
  <c r="T99" i="6"/>
  <c r="T114" i="6"/>
  <c r="T92" i="6"/>
  <c r="T79" i="6"/>
  <c r="T73" i="6"/>
  <c r="T49" i="6"/>
  <c r="T24" i="6"/>
  <c r="T33" i="6"/>
  <c r="S141" i="6"/>
  <c r="S140" i="6" s="1"/>
  <c r="S122" i="6"/>
  <c r="S120" i="6" s="1"/>
  <c r="S77" i="6"/>
  <c r="P78" i="6"/>
  <c r="P45" i="6"/>
  <c r="P151" i="6"/>
  <c r="R77" i="6"/>
  <c r="R39" i="6"/>
  <c r="R36" i="6" s="1"/>
  <c r="Q60" i="6"/>
  <c r="P99" i="6"/>
  <c r="P114" i="6"/>
  <c r="P79" i="6"/>
  <c r="P73" i="6"/>
  <c r="P62" i="6"/>
  <c r="P49" i="6"/>
  <c r="P37" i="6"/>
  <c r="P24" i="6"/>
  <c r="P33" i="6"/>
  <c r="P10" i="6"/>
  <c r="P16" i="6"/>
  <c r="O122" i="6"/>
  <c r="O120" i="6" s="1"/>
  <c r="L126" i="6"/>
  <c r="L116" i="6"/>
  <c r="L105" i="6"/>
  <c r="L101" i="6"/>
  <c r="O97" i="6"/>
  <c r="O85" i="6"/>
  <c r="O77" i="6"/>
  <c r="O60" i="6"/>
  <c r="L61" i="6"/>
  <c r="O53" i="6"/>
  <c r="L42" i="6"/>
  <c r="O32" i="6"/>
  <c r="L19" i="6"/>
  <c r="L17" i="6"/>
  <c r="L10" i="6"/>
  <c r="N179" i="6"/>
  <c r="N122" i="6"/>
  <c r="N120" i="6" s="1"/>
  <c r="L123" i="6"/>
  <c r="N97" i="6"/>
  <c r="N60" i="6"/>
  <c r="N48" i="6"/>
  <c r="N46" i="6" s="1"/>
  <c r="N39" i="6"/>
  <c r="N36" i="6" s="1"/>
  <c r="L30" i="6"/>
  <c r="M122" i="6"/>
  <c r="M120" i="6" s="1"/>
  <c r="L125" i="6"/>
  <c r="L100" i="6"/>
  <c r="M65" i="6"/>
  <c r="M39" i="6"/>
  <c r="M36" i="6" s="1"/>
  <c r="L28" i="6"/>
  <c r="L12" i="6"/>
  <c r="L180" i="6"/>
  <c r="L134" i="6"/>
  <c r="L96" i="6"/>
  <c r="L114" i="6"/>
  <c r="M97" i="6"/>
  <c r="M106" i="6"/>
  <c r="L92" i="6"/>
  <c r="L79" i="6"/>
  <c r="L70" i="6"/>
  <c r="L73" i="6"/>
  <c r="L62" i="6"/>
  <c r="L49" i="6"/>
  <c r="M14" i="6"/>
  <c r="M68" i="6" l="1"/>
  <c r="O68" i="6"/>
  <c r="T32" i="6"/>
  <c r="L65" i="6"/>
  <c r="T65" i="6"/>
  <c r="P113" i="6"/>
  <c r="N22" i="6"/>
  <c r="V22" i="6"/>
  <c r="W8" i="6"/>
  <c r="W52" i="6"/>
  <c r="M22" i="6"/>
  <c r="N95" i="6"/>
  <c r="S52" i="6"/>
  <c r="R22" i="6"/>
  <c r="P32" i="6"/>
  <c r="T113" i="6"/>
  <c r="P65" i="6"/>
  <c r="V52" i="6"/>
  <c r="L88" i="6"/>
  <c r="N68" i="6"/>
  <c r="S68" i="6"/>
  <c r="W95" i="6"/>
  <c r="L113" i="6"/>
  <c r="W68" i="6"/>
  <c r="W76" i="6"/>
  <c r="N8" i="6"/>
  <c r="P60" i="6"/>
  <c r="O95" i="6"/>
  <c r="L72" i="6"/>
  <c r="S22" i="6"/>
  <c r="W22" i="6"/>
  <c r="O22" i="6"/>
  <c r="S76" i="6"/>
  <c r="R52" i="6"/>
  <c r="P72" i="6"/>
  <c r="N52" i="6"/>
  <c r="O8" i="6"/>
  <c r="T72" i="6"/>
  <c r="R8" i="6"/>
  <c r="S8" i="6"/>
  <c r="S95" i="6"/>
  <c r="M8" i="6"/>
  <c r="L91" i="6"/>
  <c r="L14" i="6"/>
  <c r="L48" i="6"/>
  <c r="L46" i="6" s="1"/>
  <c r="L69" i="6"/>
  <c r="L39" i="6"/>
  <c r="L36" i="6" s="1"/>
  <c r="L122" i="6"/>
  <c r="L120" i="6" s="1"/>
  <c r="L141" i="6"/>
  <c r="L179" i="6"/>
  <c r="L32" i="6"/>
  <c r="L106" i="6"/>
  <c r="O76" i="6"/>
  <c r="T97" i="6"/>
  <c r="P97" i="6"/>
  <c r="L97" i="6"/>
  <c r="O52" i="6"/>
  <c r="L60" i="6"/>
  <c r="L9" i="6"/>
  <c r="L23" i="6"/>
  <c r="M95" i="6"/>
  <c r="L68" i="6" l="1"/>
  <c r="L8" i="6"/>
  <c r="L22" i="6"/>
  <c r="L95" i="6"/>
  <c r="K182" i="6"/>
  <c r="K181" i="6"/>
  <c r="K180" i="6"/>
  <c r="K155" i="6"/>
  <c r="K150" i="6"/>
  <c r="K149" i="6"/>
  <c r="K148" i="6"/>
  <c r="K147" i="6"/>
  <c r="K146" i="6"/>
  <c r="K145" i="6"/>
  <c r="K144" i="6"/>
  <c r="K143" i="6"/>
  <c r="K142" i="6"/>
  <c r="K139" i="6"/>
  <c r="K138" i="6"/>
  <c r="K137" i="6"/>
  <c r="K136" i="6"/>
  <c r="K135" i="6"/>
  <c r="K134" i="6"/>
  <c r="K132" i="6"/>
  <c r="K130" i="6"/>
  <c r="K129" i="6"/>
  <c r="K128" i="6"/>
  <c r="K127" i="6"/>
  <c r="K126" i="6"/>
  <c r="K125" i="6"/>
  <c r="K124" i="6"/>
  <c r="K123" i="6"/>
  <c r="K121" i="6"/>
  <c r="K119" i="6"/>
  <c r="K118" i="6"/>
  <c r="K117" i="6"/>
  <c r="K116" i="6"/>
  <c r="K115" i="6"/>
  <c r="K114" i="6"/>
  <c r="K112" i="6"/>
  <c r="K111" i="6"/>
  <c r="K110" i="6"/>
  <c r="K109" i="6"/>
  <c r="K108" i="6"/>
  <c r="K107" i="6"/>
  <c r="K105" i="6"/>
  <c r="K104" i="6"/>
  <c r="K103" i="6"/>
  <c r="K102" i="6"/>
  <c r="K101" i="6"/>
  <c r="K100" i="6"/>
  <c r="K99" i="6"/>
  <c r="K98" i="6"/>
  <c r="K96" i="6"/>
  <c r="K94" i="6"/>
  <c r="K92" i="6"/>
  <c r="K90" i="6"/>
  <c r="K89" i="6"/>
  <c r="K87" i="6"/>
  <c r="K86" i="6"/>
  <c r="K84" i="6"/>
  <c r="K83" i="6"/>
  <c r="K82" i="6"/>
  <c r="K81" i="6"/>
  <c r="K80" i="6"/>
  <c r="K79" i="6"/>
  <c r="K78" i="6"/>
  <c r="K75" i="6"/>
  <c r="K74" i="6"/>
  <c r="K73" i="6"/>
  <c r="K71" i="6"/>
  <c r="K70" i="6"/>
  <c r="K67" i="6"/>
  <c r="K66" i="6"/>
  <c r="K64" i="6"/>
  <c r="K63" i="6"/>
  <c r="K62" i="6"/>
  <c r="K61" i="6"/>
  <c r="K59" i="6"/>
  <c r="K58" i="6"/>
  <c r="K57" i="6"/>
  <c r="K56" i="6"/>
  <c r="K55" i="6"/>
  <c r="K54" i="6"/>
  <c r="K51" i="6"/>
  <c r="K50" i="6"/>
  <c r="K49" i="6"/>
  <c r="K47" i="6"/>
  <c r="K45" i="6"/>
  <c r="K44" i="6"/>
  <c r="K43" i="6"/>
  <c r="K42" i="6"/>
  <c r="K41" i="6"/>
  <c r="K40" i="6"/>
  <c r="K38" i="6"/>
  <c r="K37" i="6"/>
  <c r="K35" i="6"/>
  <c r="K34" i="6"/>
  <c r="K33" i="6"/>
  <c r="K31" i="6"/>
  <c r="K30" i="6"/>
  <c r="K29" i="6"/>
  <c r="K28" i="6"/>
  <c r="K27" i="6"/>
  <c r="K26" i="6"/>
  <c r="K25" i="6"/>
  <c r="K24" i="6"/>
  <c r="K21" i="6"/>
  <c r="K20" i="6"/>
  <c r="K19" i="6"/>
  <c r="K18" i="6"/>
  <c r="K17" i="6"/>
  <c r="K16" i="6"/>
  <c r="K15" i="6"/>
  <c r="K13" i="6"/>
  <c r="K12" i="6"/>
  <c r="K11" i="6"/>
  <c r="K10" i="6"/>
  <c r="J182" i="6"/>
  <c r="J181" i="6"/>
  <c r="J180" i="6"/>
  <c r="J155" i="6"/>
  <c r="J150" i="6"/>
  <c r="J149" i="6"/>
  <c r="J148" i="6"/>
  <c r="J147" i="6"/>
  <c r="J146" i="6"/>
  <c r="J145" i="6"/>
  <c r="J144" i="6"/>
  <c r="J143" i="6"/>
  <c r="J139" i="6"/>
  <c r="J138" i="6"/>
  <c r="J137" i="6"/>
  <c r="J136" i="6"/>
  <c r="J135" i="6"/>
  <c r="J134" i="6"/>
  <c r="J132" i="6"/>
  <c r="J130" i="6"/>
  <c r="J129" i="6"/>
  <c r="J128" i="6"/>
  <c r="J127" i="6"/>
  <c r="J126" i="6"/>
  <c r="J125" i="6"/>
  <c r="J124" i="6"/>
  <c r="J123" i="6"/>
  <c r="J121" i="6"/>
  <c r="J119" i="6"/>
  <c r="J118" i="6"/>
  <c r="J117" i="6"/>
  <c r="J116" i="6"/>
  <c r="J115" i="6"/>
  <c r="J114" i="6"/>
  <c r="J112" i="6"/>
  <c r="J110" i="6"/>
  <c r="J109" i="6"/>
  <c r="J108" i="6"/>
  <c r="J107" i="6"/>
  <c r="J105" i="6"/>
  <c r="J104" i="6"/>
  <c r="J103" i="6"/>
  <c r="J102" i="6"/>
  <c r="J101" i="6"/>
  <c r="J100" i="6"/>
  <c r="J99" i="6"/>
  <c r="J98" i="6"/>
  <c r="J96" i="6"/>
  <c r="J94" i="6"/>
  <c r="J92" i="6"/>
  <c r="J90" i="6"/>
  <c r="J89" i="6"/>
  <c r="J87" i="6"/>
  <c r="J86" i="6"/>
  <c r="J83" i="6"/>
  <c r="J82" i="6"/>
  <c r="J81" i="6"/>
  <c r="J80" i="6"/>
  <c r="J78" i="6"/>
  <c r="J75" i="6"/>
  <c r="J74" i="6"/>
  <c r="J73" i="6"/>
  <c r="J71" i="6"/>
  <c r="J70" i="6"/>
  <c r="J67" i="6"/>
  <c r="J66" i="6"/>
  <c r="J64" i="6"/>
  <c r="J63" i="6"/>
  <c r="J62" i="6"/>
  <c r="J61" i="6"/>
  <c r="J59" i="6"/>
  <c r="J58" i="6"/>
  <c r="J57" i="6"/>
  <c r="J56" i="6"/>
  <c r="J55" i="6"/>
  <c r="J54" i="6"/>
  <c r="J51" i="6"/>
  <c r="J50" i="6"/>
  <c r="J49" i="6"/>
  <c r="J47" i="6"/>
  <c r="J45" i="6"/>
  <c r="J44" i="6"/>
  <c r="J43" i="6"/>
  <c r="J42" i="6"/>
  <c r="J41" i="6"/>
  <c r="J40" i="6"/>
  <c r="J38" i="6"/>
  <c r="J37" i="6"/>
  <c r="J35" i="6"/>
  <c r="J34" i="6"/>
  <c r="J33" i="6"/>
  <c r="J31" i="6"/>
  <c r="J30" i="6"/>
  <c r="J29" i="6"/>
  <c r="J28" i="6"/>
  <c r="J27" i="6"/>
  <c r="J26" i="6"/>
  <c r="J24" i="6"/>
  <c r="J21" i="6"/>
  <c r="J20" i="6"/>
  <c r="J19" i="6"/>
  <c r="J18" i="6"/>
  <c r="J17" i="6"/>
  <c r="J16" i="6"/>
  <c r="J15" i="6"/>
  <c r="J13" i="6"/>
  <c r="J12" i="6"/>
  <c r="J11" i="6"/>
  <c r="J10" i="6"/>
  <c r="I181" i="6"/>
  <c r="I155" i="6" l="1"/>
  <c r="H155" i="6" s="1"/>
  <c r="I148" i="6"/>
  <c r="H148" i="6" s="1"/>
  <c r="I146" i="6"/>
  <c r="H146" i="6" s="1"/>
  <c r="I145" i="6"/>
  <c r="H145" i="6" s="1"/>
  <c r="I144" i="6"/>
  <c r="H144" i="6" s="1"/>
  <c r="I143" i="6"/>
  <c r="H143" i="6" s="1"/>
  <c r="I139" i="6"/>
  <c r="H139" i="6" s="1"/>
  <c r="I138" i="6"/>
  <c r="H138" i="6" s="1"/>
  <c r="I130" i="6"/>
  <c r="H130" i="6" s="1"/>
  <c r="I121" i="6"/>
  <c r="H121" i="6" s="1"/>
  <c r="I119" i="6"/>
  <c r="H119" i="6" s="1"/>
  <c r="I118" i="6"/>
  <c r="H118" i="6" s="1"/>
  <c r="I117" i="6"/>
  <c r="H117" i="6" s="1"/>
  <c r="I115" i="6"/>
  <c r="H115" i="6" s="1"/>
  <c r="I114" i="6"/>
  <c r="H114" i="6" s="1"/>
  <c r="I105" i="6"/>
  <c r="H105" i="6" s="1"/>
  <c r="I104" i="6"/>
  <c r="H104" i="6" s="1"/>
  <c r="I103" i="6"/>
  <c r="H103" i="6" s="1"/>
  <c r="I102" i="6"/>
  <c r="H102" i="6" s="1"/>
  <c r="I101" i="6"/>
  <c r="H101" i="6" s="1"/>
  <c r="I100" i="6"/>
  <c r="H100" i="6" s="1"/>
  <c r="I99" i="6"/>
  <c r="H99" i="6" s="1"/>
  <c r="I98" i="6"/>
  <c r="H98" i="6" s="1"/>
  <c r="I94" i="6"/>
  <c r="H94" i="6" s="1"/>
  <c r="H93" i="6" s="1"/>
  <c r="I92" i="6"/>
  <c r="H92" i="6" s="1"/>
  <c r="I90" i="6"/>
  <c r="H90" i="6" s="1"/>
  <c r="I89" i="6"/>
  <c r="H89" i="6" s="1"/>
  <c r="I87" i="6"/>
  <c r="H87" i="6" s="1"/>
  <c r="I86" i="6"/>
  <c r="H86" i="6" s="1"/>
  <c r="I84" i="6"/>
  <c r="I81" i="6"/>
  <c r="H81" i="6" s="1"/>
  <c r="I80" i="6"/>
  <c r="H80" i="6" s="1"/>
  <c r="I79" i="6"/>
  <c r="I78" i="6"/>
  <c r="H78" i="6" s="1"/>
  <c r="I74" i="6"/>
  <c r="H74" i="6" s="1"/>
  <c r="I73" i="6"/>
  <c r="I66" i="6"/>
  <c r="H66" i="6" s="1"/>
  <c r="I64" i="6"/>
  <c r="I61" i="6"/>
  <c r="H61" i="6" s="1"/>
  <c r="I51" i="6"/>
  <c r="H51" i="6" s="1"/>
  <c r="I50" i="6"/>
  <c r="H50" i="6" s="1"/>
  <c r="I45" i="6"/>
  <c r="H45" i="6" s="1"/>
  <c r="I43" i="6"/>
  <c r="H43" i="6" s="1"/>
  <c r="I34" i="6"/>
  <c r="H34" i="6" s="1"/>
  <c r="I31" i="6"/>
  <c r="H31" i="6" s="1"/>
  <c r="I30" i="6"/>
  <c r="H30" i="6" s="1"/>
  <c r="I29" i="6"/>
  <c r="H29" i="6" s="1"/>
  <c r="I28" i="6"/>
  <c r="H28" i="6" s="1"/>
  <c r="I27" i="6"/>
  <c r="I24" i="6"/>
  <c r="H24" i="6" s="1"/>
  <c r="I21" i="6"/>
  <c r="H21" i="6" s="1"/>
  <c r="I20" i="6"/>
  <c r="H20" i="6" s="1"/>
  <c r="I19" i="6"/>
  <c r="H19" i="6" s="1"/>
  <c r="I17" i="6"/>
  <c r="H17" i="6" s="1"/>
  <c r="I16" i="6"/>
  <c r="H16" i="6" s="1"/>
  <c r="I13" i="6"/>
  <c r="H13" i="6" s="1"/>
  <c r="H181" i="6"/>
  <c r="K179" i="6"/>
  <c r="J179" i="6"/>
  <c r="H151" i="6"/>
  <c r="K141" i="6"/>
  <c r="K140" i="6" s="1"/>
  <c r="K133" i="6"/>
  <c r="K131" i="6" s="1"/>
  <c r="J133" i="6"/>
  <c r="J131" i="6" s="1"/>
  <c r="K122" i="6"/>
  <c r="K120" i="6" s="1"/>
  <c r="J122" i="6"/>
  <c r="J120" i="6" s="1"/>
  <c r="K113" i="6"/>
  <c r="J113" i="6"/>
  <c r="K106" i="6"/>
  <c r="K97" i="6"/>
  <c r="J97" i="6"/>
  <c r="J93" i="6"/>
  <c r="J91" i="6" s="1"/>
  <c r="K93" i="6"/>
  <c r="K91" i="6" s="1"/>
  <c r="K88" i="6"/>
  <c r="J88" i="6"/>
  <c r="K85" i="6"/>
  <c r="J85" i="6"/>
  <c r="K77" i="6"/>
  <c r="K72" i="6"/>
  <c r="J72" i="6"/>
  <c r="K69" i="6"/>
  <c r="J69" i="6"/>
  <c r="K65" i="6"/>
  <c r="J65" i="6"/>
  <c r="K60" i="6"/>
  <c r="J60" i="6"/>
  <c r="J53" i="6"/>
  <c r="K53" i="6"/>
  <c r="K48" i="6"/>
  <c r="K46" i="6" s="1"/>
  <c r="J48" i="6"/>
  <c r="J46" i="6" s="1"/>
  <c r="K39" i="6"/>
  <c r="J39" i="6"/>
  <c r="K32" i="6"/>
  <c r="J32" i="6"/>
  <c r="K23" i="6"/>
  <c r="J23" i="6"/>
  <c r="K14" i="6"/>
  <c r="J14" i="6"/>
  <c r="K9" i="6"/>
  <c r="J9" i="6"/>
  <c r="G182" i="6"/>
  <c r="G181" i="6"/>
  <c r="G180" i="6"/>
  <c r="G178" i="6"/>
  <c r="G155" i="6"/>
  <c r="G151" i="6"/>
  <c r="G150" i="6"/>
  <c r="G149" i="6"/>
  <c r="G148" i="6"/>
  <c r="G147" i="6"/>
  <c r="G146" i="6"/>
  <c r="G145" i="6"/>
  <c r="G144" i="6"/>
  <c r="G143" i="6"/>
  <c r="G142" i="6"/>
  <c r="G139" i="6"/>
  <c r="G138" i="6"/>
  <c r="G137" i="6"/>
  <c r="G136" i="6"/>
  <c r="G135" i="6"/>
  <c r="G134" i="6"/>
  <c r="G132" i="6"/>
  <c r="G130" i="6"/>
  <c r="G129" i="6"/>
  <c r="G128" i="6"/>
  <c r="G127" i="6"/>
  <c r="G126" i="6"/>
  <c r="G125" i="6"/>
  <c r="G124" i="6"/>
  <c r="G123" i="6"/>
  <c r="G121" i="6"/>
  <c r="G119" i="6"/>
  <c r="G118" i="6"/>
  <c r="G117" i="6"/>
  <c r="G116" i="6"/>
  <c r="G115" i="6"/>
  <c r="G114" i="6"/>
  <c r="G112" i="6"/>
  <c r="G111" i="6"/>
  <c r="G110" i="6"/>
  <c r="G109" i="6"/>
  <c r="G108" i="6"/>
  <c r="G107" i="6"/>
  <c r="G105" i="6"/>
  <c r="G104" i="6"/>
  <c r="G103" i="6"/>
  <c r="G102" i="6"/>
  <c r="G101" i="6"/>
  <c r="G100" i="6"/>
  <c r="G99" i="6"/>
  <c r="G98" i="6"/>
  <c r="G96" i="6"/>
  <c r="G94" i="6"/>
  <c r="G92" i="6"/>
  <c r="G90" i="6"/>
  <c r="G89" i="6"/>
  <c r="G87" i="6"/>
  <c r="G86" i="6"/>
  <c r="G84" i="6"/>
  <c r="G83" i="6"/>
  <c r="G82" i="6"/>
  <c r="G81" i="6"/>
  <c r="G80" i="6"/>
  <c r="G79" i="6"/>
  <c r="G78" i="6"/>
  <c r="G75" i="6"/>
  <c r="G74" i="6"/>
  <c r="G73" i="6"/>
  <c r="G71" i="6"/>
  <c r="G70" i="6"/>
  <c r="G67" i="6"/>
  <c r="G66" i="6"/>
  <c r="G64" i="6"/>
  <c r="G63" i="6"/>
  <c r="G62" i="6"/>
  <c r="G61" i="6"/>
  <c r="G59" i="6"/>
  <c r="G58" i="6"/>
  <c r="G57" i="6"/>
  <c r="G56" i="6"/>
  <c r="G55" i="6"/>
  <c r="G54" i="6"/>
  <c r="G51" i="6"/>
  <c r="G50" i="6"/>
  <c r="G49" i="6"/>
  <c r="G47" i="6"/>
  <c r="G45" i="6"/>
  <c r="G44" i="6"/>
  <c r="G43" i="6"/>
  <c r="G42" i="6"/>
  <c r="G41" i="6"/>
  <c r="G40" i="6"/>
  <c r="G38" i="6"/>
  <c r="G37" i="6"/>
  <c r="G35" i="6"/>
  <c r="G34" i="6"/>
  <c r="G33" i="6"/>
  <c r="G31" i="6"/>
  <c r="G30" i="6"/>
  <c r="G29" i="6"/>
  <c r="G28" i="6"/>
  <c r="G27" i="6"/>
  <c r="G26" i="6"/>
  <c r="G25" i="6"/>
  <c r="G24" i="6"/>
  <c r="G21" i="6"/>
  <c r="G20" i="6"/>
  <c r="G19" i="6"/>
  <c r="G18" i="6"/>
  <c r="G17" i="6"/>
  <c r="G16" i="6"/>
  <c r="G15" i="6"/>
  <c r="G13" i="6"/>
  <c r="G12" i="6"/>
  <c r="G11" i="6"/>
  <c r="G10" i="6"/>
  <c r="F182" i="6"/>
  <c r="F181" i="6"/>
  <c r="F180" i="6"/>
  <c r="F178" i="6"/>
  <c r="F155" i="6"/>
  <c r="F151" i="6"/>
  <c r="F150" i="6"/>
  <c r="F149" i="6"/>
  <c r="F148" i="6"/>
  <c r="F147" i="6"/>
  <c r="F146" i="6"/>
  <c r="F145" i="6"/>
  <c r="F144" i="6"/>
  <c r="F143" i="6"/>
  <c r="F142" i="6"/>
  <c r="F139" i="6"/>
  <c r="F138" i="6"/>
  <c r="F137" i="6"/>
  <c r="F136" i="6"/>
  <c r="F135" i="6"/>
  <c r="F134" i="6"/>
  <c r="F132" i="6"/>
  <c r="F130" i="6"/>
  <c r="F129" i="6"/>
  <c r="F128" i="6"/>
  <c r="F127" i="6"/>
  <c r="F126" i="6"/>
  <c r="F125" i="6"/>
  <c r="F124" i="6"/>
  <c r="F123" i="6"/>
  <c r="F121" i="6"/>
  <c r="F119" i="6"/>
  <c r="F118" i="6"/>
  <c r="F117" i="6"/>
  <c r="F116" i="6"/>
  <c r="F115" i="6"/>
  <c r="F114" i="6"/>
  <c r="F112" i="6"/>
  <c r="F111" i="6"/>
  <c r="F110" i="6"/>
  <c r="F109" i="6"/>
  <c r="F108" i="6"/>
  <c r="F107" i="6"/>
  <c r="F105" i="6"/>
  <c r="F104" i="6"/>
  <c r="F103" i="6"/>
  <c r="F102" i="6"/>
  <c r="F101" i="6"/>
  <c r="F100" i="6"/>
  <c r="F99" i="6"/>
  <c r="F98" i="6"/>
  <c r="F96" i="6"/>
  <c r="F94" i="6"/>
  <c r="F92" i="6"/>
  <c r="F90" i="6"/>
  <c r="F89" i="6"/>
  <c r="F87" i="6"/>
  <c r="F86" i="6"/>
  <c r="F84" i="6"/>
  <c r="F83" i="6"/>
  <c r="F82" i="6"/>
  <c r="F81" i="6"/>
  <c r="F80" i="6"/>
  <c r="F79" i="6"/>
  <c r="F78" i="6"/>
  <c r="F75" i="6"/>
  <c r="F74" i="6"/>
  <c r="F73" i="6"/>
  <c r="F71" i="6"/>
  <c r="F70" i="6"/>
  <c r="F67" i="6"/>
  <c r="F66" i="6"/>
  <c r="F64" i="6"/>
  <c r="F63" i="6"/>
  <c r="F62" i="6"/>
  <c r="F61" i="6"/>
  <c r="F59" i="6"/>
  <c r="F58" i="6"/>
  <c r="F57" i="6"/>
  <c r="F56" i="6"/>
  <c r="F55" i="6"/>
  <c r="F54" i="6"/>
  <c r="F51" i="6"/>
  <c r="F50" i="6"/>
  <c r="F49" i="6"/>
  <c r="F47" i="6"/>
  <c r="F45" i="6"/>
  <c r="F44" i="6"/>
  <c r="F43" i="6"/>
  <c r="F42" i="6"/>
  <c r="F41" i="6"/>
  <c r="F40" i="6"/>
  <c r="F38" i="6"/>
  <c r="F37" i="6"/>
  <c r="F35" i="6"/>
  <c r="F34" i="6"/>
  <c r="F33" i="6"/>
  <c r="F31" i="6"/>
  <c r="F30" i="6"/>
  <c r="F29" i="6"/>
  <c r="F28" i="6"/>
  <c r="F27" i="6"/>
  <c r="F26" i="6"/>
  <c r="F25" i="6"/>
  <c r="F24" i="6"/>
  <c r="F21" i="6"/>
  <c r="F20" i="6"/>
  <c r="F19" i="6"/>
  <c r="F18" i="6"/>
  <c r="F17" i="6"/>
  <c r="F16" i="6"/>
  <c r="F15" i="6"/>
  <c r="F13" i="6"/>
  <c r="F12" i="6"/>
  <c r="F11" i="6"/>
  <c r="F10" i="6"/>
  <c r="I93" i="6" l="1"/>
  <c r="I91" i="6" s="1"/>
  <c r="H85" i="6"/>
  <c r="I85" i="6"/>
  <c r="I113" i="6"/>
  <c r="I72" i="6"/>
  <c r="I88" i="6"/>
  <c r="I97" i="6"/>
  <c r="H64" i="6"/>
  <c r="K76" i="6"/>
  <c r="H113" i="6"/>
  <c r="J52" i="6"/>
  <c r="H91" i="6"/>
  <c r="H88" i="6"/>
  <c r="H27" i="6"/>
  <c r="K95" i="6"/>
  <c r="H97" i="6"/>
  <c r="J68" i="6"/>
  <c r="K68" i="6"/>
  <c r="H73" i="6"/>
  <c r="H72" i="6" s="1"/>
  <c r="K52" i="6"/>
  <c r="J36" i="6"/>
  <c r="K36" i="6"/>
  <c r="J22" i="6"/>
  <c r="K22" i="6"/>
  <c r="J8" i="6"/>
  <c r="K8" i="6"/>
  <c r="E130" i="6" l="1"/>
  <c r="E129" i="6"/>
  <c r="E119" i="6"/>
  <c r="E118" i="6"/>
  <c r="E117" i="6"/>
  <c r="E74" i="6"/>
  <c r="E73" i="6"/>
  <c r="E75" i="6"/>
  <c r="E182" i="6"/>
  <c r="E181" i="6"/>
  <c r="E180" i="6"/>
  <c r="E178" i="6"/>
  <c r="E155" i="6"/>
  <c r="E151" i="6"/>
  <c r="E150" i="6"/>
  <c r="E149" i="6"/>
  <c r="E148" i="6"/>
  <c r="E147" i="6"/>
  <c r="E146" i="6"/>
  <c r="E145" i="6"/>
  <c r="E144" i="6"/>
  <c r="E143" i="6"/>
  <c r="E142" i="6"/>
  <c r="E139" i="6"/>
  <c r="E138" i="6"/>
  <c r="E137" i="6"/>
  <c r="E136" i="6"/>
  <c r="E135" i="6"/>
  <c r="E134" i="6"/>
  <c r="E132" i="6"/>
  <c r="E128" i="6"/>
  <c r="E127" i="6"/>
  <c r="E126" i="6"/>
  <c r="E125" i="6"/>
  <c r="E124" i="6"/>
  <c r="E123" i="6"/>
  <c r="E121" i="6"/>
  <c r="E116" i="6"/>
  <c r="E115" i="6"/>
  <c r="E114" i="6"/>
  <c r="E112" i="6"/>
  <c r="E111" i="6"/>
  <c r="E110" i="6"/>
  <c r="E109" i="6"/>
  <c r="E108" i="6"/>
  <c r="E107" i="6"/>
  <c r="E105" i="6"/>
  <c r="E104" i="6"/>
  <c r="E103" i="6"/>
  <c r="E102" i="6"/>
  <c r="E101" i="6"/>
  <c r="E100" i="6"/>
  <c r="E99" i="6"/>
  <c r="E98" i="6"/>
  <c r="E96" i="6"/>
  <c r="E94" i="6"/>
  <c r="E92" i="6"/>
  <c r="E90" i="6"/>
  <c r="E89" i="6"/>
  <c r="E87" i="6"/>
  <c r="E86" i="6"/>
  <c r="E84" i="6"/>
  <c r="E83" i="6"/>
  <c r="E82" i="6"/>
  <c r="E81" i="6"/>
  <c r="E80" i="6"/>
  <c r="E79" i="6"/>
  <c r="E78" i="6"/>
  <c r="E71" i="6"/>
  <c r="E70" i="6"/>
  <c r="E67" i="6"/>
  <c r="E66" i="6"/>
  <c r="E64" i="6"/>
  <c r="E63" i="6"/>
  <c r="E62" i="6"/>
  <c r="E61" i="6"/>
  <c r="E59" i="6"/>
  <c r="E58" i="6"/>
  <c r="E57" i="6"/>
  <c r="E56" i="6"/>
  <c r="E55" i="6"/>
  <c r="E54" i="6"/>
  <c r="E51" i="6"/>
  <c r="E50" i="6"/>
  <c r="E49" i="6"/>
  <c r="E47" i="6"/>
  <c r="E45" i="6"/>
  <c r="E44" i="6"/>
  <c r="E43" i="6"/>
  <c r="E42" i="6"/>
  <c r="E41" i="6"/>
  <c r="E40" i="6"/>
  <c r="E38" i="6"/>
  <c r="E37" i="6"/>
  <c r="E35" i="6"/>
  <c r="E34" i="6"/>
  <c r="E33" i="6"/>
  <c r="E31" i="6"/>
  <c r="E30" i="6"/>
  <c r="E29" i="6"/>
  <c r="E28" i="6"/>
  <c r="E27" i="6"/>
  <c r="E26" i="6"/>
  <c r="E25" i="6"/>
  <c r="E24" i="6"/>
  <c r="E21" i="6"/>
  <c r="E20" i="6"/>
  <c r="E19" i="6"/>
  <c r="E18" i="6"/>
  <c r="E17" i="6"/>
  <c r="E16" i="6"/>
  <c r="E15" i="6"/>
  <c r="E13" i="6"/>
  <c r="E12" i="6"/>
  <c r="E11" i="6"/>
  <c r="E10" i="6"/>
  <c r="G177" i="6"/>
  <c r="F177" i="6"/>
  <c r="E177" i="6"/>
  <c r="D177" i="6" l="1"/>
  <c r="B127" i="5"/>
  <c r="B92" i="5"/>
  <c r="B89" i="5"/>
  <c r="B82" i="5"/>
  <c r="B62" i="5"/>
  <c r="B61" i="5"/>
  <c r="B52" i="5"/>
  <c r="B51" i="5"/>
  <c r="B21" i="5"/>
  <c r="H29" i="7" l="1"/>
  <c r="C123" i="5"/>
  <c r="E12" i="7" s="1"/>
  <c r="C110" i="5"/>
  <c r="C106" i="5"/>
  <c r="C63" i="5"/>
  <c r="C54" i="5"/>
  <c r="C31" i="5"/>
  <c r="C18" i="5"/>
  <c r="C9" i="5"/>
  <c r="C7" i="5"/>
  <c r="C5" i="5"/>
  <c r="F123" i="5"/>
  <c r="H12" i="7" s="1"/>
  <c r="F110" i="5"/>
  <c r="F106" i="5"/>
  <c r="F63" i="5"/>
  <c r="F54" i="5"/>
  <c r="F31" i="5"/>
  <c r="F18" i="5"/>
  <c r="F9" i="5"/>
  <c r="F7" i="5"/>
  <c r="F5" i="5"/>
  <c r="M50" i="13"/>
  <c r="E28" i="7" l="1"/>
  <c r="H28" i="7"/>
  <c r="E27" i="7"/>
  <c r="H27" i="7"/>
  <c r="F4" i="5"/>
  <c r="H26" i="7" s="1"/>
  <c r="F105" i="5"/>
  <c r="H8" i="7" s="1"/>
  <c r="F17" i="5"/>
  <c r="C105" i="5"/>
  <c r="E8" i="7" s="1"/>
  <c r="C17" i="5"/>
  <c r="C4" i="5"/>
  <c r="E26" i="7" s="1"/>
  <c r="F3" i="5" l="1"/>
  <c r="H4" i="7" s="1"/>
  <c r="E36" i="7"/>
  <c r="H36" i="7"/>
  <c r="C3" i="5"/>
  <c r="F132" i="5" l="1"/>
  <c r="C132" i="5"/>
  <c r="E4" i="7"/>
  <c r="H21" i="7"/>
  <c r="H16" i="7"/>
  <c r="E21" i="7" l="1"/>
  <c r="E16" i="7"/>
  <c r="U51" i="13" l="1"/>
  <c r="U53" i="13" s="1"/>
  <c r="P19" i="13" l="1"/>
  <c r="P14" i="13"/>
  <c r="P12" i="13"/>
  <c r="P11" i="13"/>
  <c r="O31" i="13"/>
  <c r="O32" i="13"/>
  <c r="O33" i="13"/>
  <c r="O34" i="13"/>
  <c r="O35" i="13"/>
  <c r="O36" i="13"/>
  <c r="O37" i="13"/>
  <c r="O39" i="13"/>
  <c r="O40" i="13"/>
  <c r="O41" i="13"/>
  <c r="O42" i="13"/>
  <c r="O43" i="13"/>
  <c r="O44" i="13"/>
  <c r="O30" i="13"/>
  <c r="C6" i="14"/>
  <c r="I6" i="14"/>
  <c r="I35" i="14" s="1"/>
  <c r="H6" i="14"/>
  <c r="I30" i="14"/>
  <c r="H30" i="14"/>
  <c r="E30" i="14"/>
  <c r="D30" i="14"/>
  <c r="D35" i="14" s="1"/>
  <c r="H35" i="14" l="1"/>
  <c r="E35" i="14"/>
  <c r="O49" i="13" l="1"/>
  <c r="M49" i="13"/>
  <c r="G29" i="7" l="1"/>
  <c r="F29" i="7"/>
  <c r="E123" i="5"/>
  <c r="G12" i="7" s="1"/>
  <c r="E110" i="5"/>
  <c r="E106" i="5"/>
  <c r="E63" i="5"/>
  <c r="E54" i="5"/>
  <c r="E31" i="5"/>
  <c r="E18" i="5"/>
  <c r="E9" i="5"/>
  <c r="E7" i="5"/>
  <c r="E5" i="5"/>
  <c r="D123" i="5"/>
  <c r="F12" i="7" s="1"/>
  <c r="D110" i="5"/>
  <c r="D106" i="5"/>
  <c r="D63" i="5"/>
  <c r="D54" i="5"/>
  <c r="D31" i="5"/>
  <c r="D18" i="5"/>
  <c r="D9" i="5"/>
  <c r="D7" i="5"/>
  <c r="D5" i="5"/>
  <c r="G28" i="7" l="1"/>
  <c r="E105" i="5"/>
  <c r="G8" i="7" s="1"/>
  <c r="F28" i="7"/>
  <c r="D105" i="5"/>
  <c r="F8" i="7" s="1"/>
  <c r="F27" i="7"/>
  <c r="G27" i="7"/>
  <c r="E17" i="5"/>
  <c r="D17" i="5"/>
  <c r="E4" i="5"/>
  <c r="G26" i="7" s="1"/>
  <c r="D4" i="5"/>
  <c r="F26" i="7" s="1"/>
  <c r="G36" i="7" l="1"/>
  <c r="F36" i="7"/>
  <c r="E3" i="5"/>
  <c r="G4" i="7" s="1"/>
  <c r="G16" i="7" s="1"/>
  <c r="D3" i="5"/>
  <c r="G21" i="7" l="1"/>
  <c r="E132" i="5"/>
  <c r="F4" i="7"/>
  <c r="D132" i="5"/>
  <c r="F21" i="7" l="1"/>
  <c r="F16" i="7"/>
  <c r="E29" i="13" l="1"/>
  <c r="N36" i="13"/>
  <c r="N35" i="13"/>
  <c r="S15" i="13" l="1"/>
  <c r="J46" i="13" l="1"/>
  <c r="G9" i="6" l="1"/>
  <c r="F9" i="6"/>
  <c r="D29" i="7" l="1"/>
  <c r="D181" i="6"/>
  <c r="F179" i="6"/>
  <c r="D155" i="6"/>
  <c r="D143" i="6"/>
  <c r="D145" i="6"/>
  <c r="D151" i="6"/>
  <c r="F141" i="6"/>
  <c r="F140" i="6" s="1"/>
  <c r="G141" i="6"/>
  <c r="G140" i="6" s="1"/>
  <c r="D138" i="6"/>
  <c r="D139" i="6"/>
  <c r="D132" i="6"/>
  <c r="D130" i="6"/>
  <c r="F122" i="6"/>
  <c r="F120" i="6" s="1"/>
  <c r="G122" i="6"/>
  <c r="G120" i="6" s="1"/>
  <c r="D115" i="6"/>
  <c r="D117" i="6"/>
  <c r="D119" i="6"/>
  <c r="D114" i="6"/>
  <c r="D99" i="6"/>
  <c r="D100" i="6"/>
  <c r="D101" i="6"/>
  <c r="D102" i="6"/>
  <c r="D103" i="6"/>
  <c r="D104" i="6"/>
  <c r="D105" i="6"/>
  <c r="D98" i="6"/>
  <c r="E113" i="6"/>
  <c r="F113" i="6"/>
  <c r="G113" i="6"/>
  <c r="G106" i="6"/>
  <c r="E97" i="6"/>
  <c r="F97" i="6"/>
  <c r="G97" i="6"/>
  <c r="D94" i="6"/>
  <c r="D93" i="6" s="1"/>
  <c r="D92" i="6"/>
  <c r="E93" i="6"/>
  <c r="E91" i="6" s="1"/>
  <c r="F93" i="6"/>
  <c r="F91" i="6" s="1"/>
  <c r="G93" i="6"/>
  <c r="G91" i="6" s="1"/>
  <c r="D90" i="6"/>
  <c r="D89" i="6"/>
  <c r="D87" i="6"/>
  <c r="D86" i="6"/>
  <c r="D79" i="6"/>
  <c r="D80" i="6"/>
  <c r="D83" i="6"/>
  <c r="D78" i="6"/>
  <c r="E88" i="6"/>
  <c r="F88" i="6"/>
  <c r="G88" i="6"/>
  <c r="E85" i="6"/>
  <c r="F85" i="6"/>
  <c r="G85" i="6"/>
  <c r="F77" i="6"/>
  <c r="G77" i="6"/>
  <c r="D74" i="6"/>
  <c r="D75" i="6"/>
  <c r="D73" i="6"/>
  <c r="D70" i="6"/>
  <c r="E72" i="6"/>
  <c r="F72" i="6"/>
  <c r="G72" i="6"/>
  <c r="F69" i="6"/>
  <c r="G69" i="6"/>
  <c r="D67" i="6"/>
  <c r="D66" i="6"/>
  <c r="D64" i="6"/>
  <c r="D61" i="6"/>
  <c r="D58" i="6"/>
  <c r="E65" i="6"/>
  <c r="F65" i="6"/>
  <c r="G65" i="6"/>
  <c r="F60" i="6"/>
  <c r="G60" i="6"/>
  <c r="F53" i="6"/>
  <c r="G53" i="6"/>
  <c r="D50" i="6"/>
  <c r="D51" i="6"/>
  <c r="D49" i="6"/>
  <c r="D47" i="6"/>
  <c r="E48" i="6"/>
  <c r="E46" i="6" s="1"/>
  <c r="F48" i="6"/>
  <c r="F46" i="6" s="1"/>
  <c r="G48" i="6"/>
  <c r="G46" i="6" s="1"/>
  <c r="D41" i="6"/>
  <c r="D42" i="6"/>
  <c r="D43" i="6"/>
  <c r="D44" i="6"/>
  <c r="D45" i="6"/>
  <c r="D40" i="6"/>
  <c r="D38" i="6"/>
  <c r="D37" i="6"/>
  <c r="E39" i="6"/>
  <c r="E36" i="6" s="1"/>
  <c r="F39" i="6"/>
  <c r="F36" i="6" s="1"/>
  <c r="G39" i="6"/>
  <c r="G36" i="6" s="1"/>
  <c r="D34" i="6"/>
  <c r="D35" i="6"/>
  <c r="D33" i="6"/>
  <c r="D25" i="6"/>
  <c r="D26" i="6"/>
  <c r="D27" i="6"/>
  <c r="D28" i="6"/>
  <c r="D29" i="6"/>
  <c r="D30" i="6"/>
  <c r="D31" i="6"/>
  <c r="D24" i="6"/>
  <c r="E32" i="6"/>
  <c r="F32" i="6"/>
  <c r="G32" i="6"/>
  <c r="E23" i="6"/>
  <c r="F23" i="6"/>
  <c r="G23" i="6"/>
  <c r="D16" i="6"/>
  <c r="D17" i="6"/>
  <c r="D18" i="6"/>
  <c r="D19" i="6"/>
  <c r="D20" i="6"/>
  <c r="D21" i="6"/>
  <c r="D15" i="6"/>
  <c r="D11" i="6"/>
  <c r="D12" i="6"/>
  <c r="D13" i="6"/>
  <c r="E14" i="6"/>
  <c r="F14" i="6"/>
  <c r="F8" i="6" s="1"/>
  <c r="G14" i="6"/>
  <c r="G8" i="6" s="1"/>
  <c r="G68" i="6" l="1"/>
  <c r="G95" i="6"/>
  <c r="G76" i="6"/>
  <c r="G22" i="6"/>
  <c r="F76" i="6"/>
  <c r="F52" i="6"/>
  <c r="D113" i="6"/>
  <c r="D88" i="6"/>
  <c r="D85" i="6"/>
  <c r="D72" i="6"/>
  <c r="D65" i="6"/>
  <c r="D48" i="6"/>
  <c r="D46" i="6" s="1"/>
  <c r="D39" i="6"/>
  <c r="D36" i="6" s="1"/>
  <c r="D32" i="6"/>
  <c r="D14" i="6"/>
  <c r="D91" i="6"/>
  <c r="F68" i="6"/>
  <c r="E22" i="6"/>
  <c r="F22" i="6"/>
  <c r="D23" i="6"/>
  <c r="G52" i="6"/>
  <c r="D97" i="6"/>
  <c r="D22" i="6" l="1"/>
  <c r="B123" i="5" l="1"/>
  <c r="B110" i="5"/>
  <c r="B106" i="5"/>
  <c r="B63" i="5"/>
  <c r="B54" i="5"/>
  <c r="B31" i="5"/>
  <c r="B18" i="5"/>
  <c r="B9" i="5"/>
  <c r="B7" i="5"/>
  <c r="B5" i="5"/>
  <c r="D12" i="7" l="1"/>
  <c r="D28" i="7"/>
  <c r="D27" i="7"/>
  <c r="B105" i="5"/>
  <c r="D8" i="7" s="1"/>
  <c r="B17" i="5"/>
  <c r="B4" i="5"/>
  <c r="D26" i="7" s="1"/>
  <c r="D36" i="7" l="1"/>
  <c r="B3" i="5"/>
  <c r="B132" i="5" l="1"/>
  <c r="D4" i="7"/>
  <c r="D21" i="7" l="1"/>
  <c r="D16" i="7"/>
  <c r="S25" i="13" l="1"/>
  <c r="S18" i="13"/>
  <c r="S9" i="13"/>
  <c r="S48" i="13" l="1"/>
  <c r="S7" i="13"/>
  <c r="L18" i="13" l="1"/>
  <c r="Q53" i="13" l="1"/>
  <c r="N52" i="13"/>
  <c r="M52" i="13"/>
  <c r="O50" i="13"/>
  <c r="N50" i="13" s="1"/>
  <c r="P49" i="13"/>
  <c r="V25" i="13"/>
  <c r="V18" i="13"/>
  <c r="V9" i="13"/>
  <c r="T25" i="13"/>
  <c r="T18" i="13"/>
  <c r="T9" i="13"/>
  <c r="R25" i="13"/>
  <c r="R18" i="13"/>
  <c r="R9" i="13"/>
  <c r="R48" i="13" l="1"/>
  <c r="T48" i="13"/>
  <c r="V7" i="13"/>
  <c r="V48" i="13"/>
  <c r="V51" i="13" s="1"/>
  <c r="T7" i="13"/>
  <c r="R7" i="13"/>
  <c r="N49" i="13"/>
  <c r="R51" i="13" l="1"/>
  <c r="R53" i="13" s="1"/>
  <c r="V53" i="13"/>
  <c r="R54" i="13" l="1"/>
  <c r="J13" i="13" l="1"/>
  <c r="I18" i="13"/>
  <c r="I9" i="13"/>
  <c r="I48" i="13" l="1"/>
  <c r="I51" i="13" s="1"/>
  <c r="I7" i="13"/>
  <c r="D28" i="12" l="1"/>
  <c r="C28" i="12"/>
  <c r="F9" i="13" l="1"/>
  <c r="E51" i="13"/>
  <c r="C46" i="13" l="1"/>
  <c r="N44" i="13"/>
  <c r="N43" i="13"/>
  <c r="N42" i="13"/>
  <c r="N40" i="13"/>
  <c r="N39" i="13"/>
  <c r="N38" i="13"/>
  <c r="N37" i="13"/>
  <c r="N34" i="13"/>
  <c r="N33" i="13"/>
  <c r="N32" i="13"/>
  <c r="N31" i="13"/>
  <c r="C28" i="13"/>
  <c r="J28" i="13" s="1"/>
  <c r="M28" i="13" s="1"/>
  <c r="K27" i="13"/>
  <c r="O27" i="13" s="1"/>
  <c r="C27" i="13"/>
  <c r="J27" i="13" s="1"/>
  <c r="K26" i="13"/>
  <c r="O26" i="13" s="1"/>
  <c r="J26" i="13"/>
  <c r="M26" i="13" s="1"/>
  <c r="L25" i="13"/>
  <c r="G25" i="13"/>
  <c r="F25" i="13"/>
  <c r="E25" i="13"/>
  <c r="K24" i="13"/>
  <c r="O24" i="13" s="1"/>
  <c r="N24" i="13" s="1"/>
  <c r="C24" i="13"/>
  <c r="K23" i="13"/>
  <c r="O23" i="13" s="1"/>
  <c r="N23" i="13" s="1"/>
  <c r="C23" i="13"/>
  <c r="K22" i="13"/>
  <c r="O22" i="13" s="1"/>
  <c r="C22" i="13"/>
  <c r="K21" i="13"/>
  <c r="O21" i="13" s="1"/>
  <c r="N21" i="13" s="1"/>
  <c r="C21" i="13"/>
  <c r="K20" i="13"/>
  <c r="O20" i="13" s="1"/>
  <c r="C20" i="13"/>
  <c r="K19" i="13"/>
  <c r="O19" i="13" s="1"/>
  <c r="C19" i="13"/>
  <c r="H18" i="13"/>
  <c r="G18" i="13"/>
  <c r="F18" i="13"/>
  <c r="E18" i="13"/>
  <c r="D18" i="13"/>
  <c r="D48" i="13" s="1"/>
  <c r="D51" i="13" s="1"/>
  <c r="N17" i="13"/>
  <c r="K17" i="13"/>
  <c r="C17" i="13"/>
  <c r="J17" i="13" s="1"/>
  <c r="M17" i="13" s="1"/>
  <c r="K16" i="13"/>
  <c r="O16" i="13" s="1"/>
  <c r="C16" i="13"/>
  <c r="K15" i="13"/>
  <c r="O15" i="13" s="1"/>
  <c r="C15" i="13"/>
  <c r="K14" i="13"/>
  <c r="O14" i="13" s="1"/>
  <c r="N14" i="13" s="1"/>
  <c r="C14" i="13"/>
  <c r="M13" i="13"/>
  <c r="K13" i="13"/>
  <c r="O13" i="13" s="1"/>
  <c r="K12" i="13"/>
  <c r="O12" i="13" s="1"/>
  <c r="N12" i="13" s="1"/>
  <c r="C12" i="13"/>
  <c r="K11" i="13"/>
  <c r="O11" i="13" s="1"/>
  <c r="C11" i="13"/>
  <c r="J11" i="13" s="1"/>
  <c r="K10" i="13"/>
  <c r="O10" i="13" s="1"/>
  <c r="C10" i="13"/>
  <c r="J10" i="13" s="1"/>
  <c r="M10" i="13" s="1"/>
  <c r="L9" i="13"/>
  <c r="H9" i="13"/>
  <c r="G9" i="13"/>
  <c r="J8" i="13"/>
  <c r="E7" i="13" l="1"/>
  <c r="L7" i="13"/>
  <c r="J19" i="13"/>
  <c r="M19" i="13" s="1"/>
  <c r="N41" i="13"/>
  <c r="O29" i="13"/>
  <c r="N30" i="13"/>
  <c r="N29" i="13" s="1"/>
  <c r="L48" i="13"/>
  <c r="L51" i="13" s="1"/>
  <c r="G51" i="13"/>
  <c r="N13" i="13"/>
  <c r="N16" i="13"/>
  <c r="H48" i="13"/>
  <c r="H51" i="13" s="1"/>
  <c r="C25" i="13"/>
  <c r="J24" i="13"/>
  <c r="M24" i="13" s="1"/>
  <c r="J20" i="13"/>
  <c r="M20" i="13" s="1"/>
  <c r="M8" i="13"/>
  <c r="J23" i="13"/>
  <c r="M23" i="13" s="1"/>
  <c r="J22" i="13"/>
  <c r="M22" i="13" s="1"/>
  <c r="J21" i="13"/>
  <c r="M21" i="13" s="1"/>
  <c r="N20" i="13"/>
  <c r="N19" i="13"/>
  <c r="N15" i="13"/>
  <c r="N11" i="13"/>
  <c r="J16" i="13"/>
  <c r="M16" i="13" s="1"/>
  <c r="J15" i="13"/>
  <c r="M15" i="13" s="1"/>
  <c r="J14" i="13"/>
  <c r="M14" i="13" s="1"/>
  <c r="J12" i="13"/>
  <c r="M12" i="13" s="1"/>
  <c r="F7" i="13"/>
  <c r="F48" i="13"/>
  <c r="F51" i="13" s="1"/>
  <c r="D7" i="13"/>
  <c r="P9" i="13"/>
  <c r="P25" i="13"/>
  <c r="N27" i="13"/>
  <c r="N22" i="13"/>
  <c r="P18" i="13"/>
  <c r="K9" i="13"/>
  <c r="C9" i="13"/>
  <c r="O18" i="13"/>
  <c r="M27" i="13"/>
  <c r="M25" i="13" s="1"/>
  <c r="J25" i="13"/>
  <c r="O9" i="13"/>
  <c r="N10" i="13"/>
  <c r="N26" i="13"/>
  <c r="O25" i="13"/>
  <c r="G7" i="13"/>
  <c r="M11" i="13"/>
  <c r="K18" i="13"/>
  <c r="K25" i="13"/>
  <c r="H7" i="13"/>
  <c r="C18" i="13"/>
  <c r="M47" i="13" l="1"/>
  <c r="M18" i="13"/>
  <c r="O45" i="13"/>
  <c r="N45" i="13" s="1"/>
  <c r="N9" i="13"/>
  <c r="K7" i="13"/>
  <c r="P48" i="13"/>
  <c r="J18" i="13"/>
  <c r="N18" i="13"/>
  <c r="N25" i="13"/>
  <c r="P7" i="13"/>
  <c r="K48" i="13"/>
  <c r="K51" i="13" s="1"/>
  <c r="C48" i="13"/>
  <c r="J9" i="13"/>
  <c r="C7" i="13"/>
  <c r="N47" i="13"/>
  <c r="M9" i="13"/>
  <c r="O7" i="13" l="1"/>
  <c r="O48" i="13"/>
  <c r="O53" i="13" s="1"/>
  <c r="M7" i="13"/>
  <c r="P51" i="13"/>
  <c r="P53" i="13" s="1"/>
  <c r="J7" i="13"/>
  <c r="J48" i="13"/>
  <c r="J51" i="13" s="1"/>
  <c r="N48" i="13"/>
  <c r="N51" i="13" s="1"/>
  <c r="N7" i="13"/>
  <c r="M48" i="13"/>
  <c r="M51" i="13" s="1"/>
  <c r="O54" i="13" l="1"/>
  <c r="U128" i="2" l="1"/>
  <c r="U116" i="2"/>
  <c r="V113" i="2"/>
  <c r="U113" i="2"/>
  <c r="U112" i="2"/>
  <c r="U111" i="2"/>
  <c r="U109" i="2"/>
  <c r="U108" i="2"/>
  <c r="U106" i="2"/>
  <c r="U105" i="2"/>
  <c r="U104" i="2"/>
  <c r="U102" i="2"/>
  <c r="U100" i="2"/>
  <c r="U44" i="2"/>
  <c r="W178" i="2" l="1"/>
  <c r="V178" i="2"/>
  <c r="W177" i="2"/>
  <c r="V177" i="2"/>
  <c r="U177" i="2"/>
  <c r="W176" i="2"/>
  <c r="V176" i="2"/>
  <c r="U176" i="2"/>
  <c r="O178" i="2"/>
  <c r="N178" i="2"/>
  <c r="O177" i="2"/>
  <c r="N177" i="2"/>
  <c r="M177" i="2"/>
  <c r="O176" i="2"/>
  <c r="N176" i="2"/>
  <c r="M176" i="2"/>
  <c r="K176" i="2"/>
  <c r="G178" i="2"/>
  <c r="F178" i="2"/>
  <c r="F177" i="2"/>
  <c r="E177" i="2"/>
  <c r="G176" i="2"/>
  <c r="W174" i="2"/>
  <c r="V174" i="2"/>
  <c r="U174" i="2"/>
  <c r="O174" i="2"/>
  <c r="N174" i="2"/>
  <c r="M174" i="2"/>
  <c r="F174" i="2"/>
  <c r="W173" i="2"/>
  <c r="V173" i="2"/>
  <c r="U173" i="2"/>
  <c r="W172" i="2"/>
  <c r="V172" i="2"/>
  <c r="U172" i="2"/>
  <c r="W170" i="2"/>
  <c r="V170" i="2"/>
  <c r="U170" i="2"/>
  <c r="W169" i="2"/>
  <c r="V169" i="2"/>
  <c r="U169" i="2"/>
  <c r="W168" i="2"/>
  <c r="V168" i="2"/>
  <c r="U168" i="2"/>
  <c r="W167" i="2"/>
  <c r="V167" i="2"/>
  <c r="U167" i="2"/>
  <c r="W166" i="2"/>
  <c r="V166" i="2"/>
  <c r="U166" i="2"/>
  <c r="W164" i="2"/>
  <c r="V164" i="2"/>
  <c r="U164" i="2"/>
  <c r="W163" i="2"/>
  <c r="V163" i="2"/>
  <c r="U163" i="2"/>
  <c r="W162" i="2"/>
  <c r="V162" i="2"/>
  <c r="U162" i="2"/>
  <c r="W160" i="2"/>
  <c r="V160" i="2"/>
  <c r="U160" i="2"/>
  <c r="W159" i="2"/>
  <c r="V159" i="2"/>
  <c r="U159" i="2"/>
  <c r="W158" i="2"/>
  <c r="V158" i="2"/>
  <c r="U158" i="2"/>
  <c r="W157" i="2"/>
  <c r="V157" i="2"/>
  <c r="U157" i="2"/>
  <c r="W155" i="2"/>
  <c r="V155" i="2"/>
  <c r="U155" i="2"/>
  <c r="W154" i="2"/>
  <c r="V154" i="2"/>
  <c r="U154" i="2"/>
  <c r="W153" i="2"/>
  <c r="V153" i="2"/>
  <c r="U153" i="2"/>
  <c r="O173" i="2"/>
  <c r="N173" i="2"/>
  <c r="M173" i="2"/>
  <c r="O172" i="2"/>
  <c r="N172" i="2"/>
  <c r="M172" i="2"/>
  <c r="O170" i="2"/>
  <c r="N170" i="2"/>
  <c r="M170" i="2"/>
  <c r="O169" i="2"/>
  <c r="N169" i="2"/>
  <c r="O168" i="2"/>
  <c r="N168" i="2"/>
  <c r="O167" i="2"/>
  <c r="N167" i="2"/>
  <c r="M167" i="2"/>
  <c r="O166" i="2"/>
  <c r="N166" i="2"/>
  <c r="O164" i="2"/>
  <c r="O163" i="2"/>
  <c r="N163" i="2"/>
  <c r="O162" i="2"/>
  <c r="N162" i="2"/>
  <c r="O160" i="2"/>
  <c r="N160" i="2"/>
  <c r="O159" i="2"/>
  <c r="N159" i="2"/>
  <c r="M159" i="2"/>
  <c r="O158" i="2"/>
  <c r="N158" i="2"/>
  <c r="O157" i="2"/>
  <c r="N157" i="2"/>
  <c r="O155" i="2"/>
  <c r="N155" i="2"/>
  <c r="M155" i="2"/>
  <c r="O154" i="2"/>
  <c r="N154" i="2"/>
  <c r="O153" i="2"/>
  <c r="N153" i="2"/>
  <c r="I173" i="2"/>
  <c r="G173" i="2"/>
  <c r="F173" i="2"/>
  <c r="G172" i="2"/>
  <c r="F172" i="2"/>
  <c r="G170" i="2"/>
  <c r="F170" i="2"/>
  <c r="G169" i="2"/>
  <c r="F169" i="2"/>
  <c r="G168" i="2"/>
  <c r="F168" i="2"/>
  <c r="G167" i="2"/>
  <c r="F167" i="2"/>
  <c r="G166" i="2"/>
  <c r="G164" i="2"/>
  <c r="G163" i="2"/>
  <c r="F163" i="2"/>
  <c r="G162" i="2"/>
  <c r="F162" i="2"/>
  <c r="G160" i="2"/>
  <c r="F160" i="2"/>
  <c r="G159" i="2"/>
  <c r="F159" i="2"/>
  <c r="G158" i="2"/>
  <c r="F158" i="2"/>
  <c r="G157" i="2"/>
  <c r="F157" i="2"/>
  <c r="G155" i="2"/>
  <c r="F155" i="2"/>
  <c r="G154" i="2"/>
  <c r="F154" i="2"/>
  <c r="G153" i="2"/>
  <c r="F153" i="2"/>
  <c r="W150" i="2"/>
  <c r="V150" i="2"/>
  <c r="U150" i="2"/>
  <c r="W149" i="2"/>
  <c r="V149" i="2"/>
  <c r="U149" i="2"/>
  <c r="W148" i="2"/>
  <c r="V148" i="2"/>
  <c r="U148" i="2"/>
  <c r="W147" i="2"/>
  <c r="V147" i="2"/>
  <c r="U147" i="2"/>
  <c r="W146" i="2"/>
  <c r="V146" i="2"/>
  <c r="U146" i="2"/>
  <c r="W145" i="2"/>
  <c r="V145" i="2"/>
  <c r="U145" i="2"/>
  <c r="W144" i="2"/>
  <c r="V144" i="2"/>
  <c r="U144" i="2"/>
  <c r="W143" i="2"/>
  <c r="V143" i="2"/>
  <c r="U143" i="2"/>
  <c r="W142" i="2"/>
  <c r="V142" i="2"/>
  <c r="U142" i="2"/>
  <c r="W141" i="2"/>
  <c r="V141" i="2"/>
  <c r="U141" i="2"/>
  <c r="O150" i="2"/>
  <c r="N150" i="2"/>
  <c r="M150" i="2"/>
  <c r="O149" i="2"/>
  <c r="N149" i="2"/>
  <c r="M149" i="2"/>
  <c r="O148" i="2"/>
  <c r="N148" i="2"/>
  <c r="M148" i="2"/>
  <c r="O147" i="2"/>
  <c r="N147" i="2"/>
  <c r="M147" i="2"/>
  <c r="O146" i="2"/>
  <c r="N146" i="2"/>
  <c r="M146" i="2"/>
  <c r="O145" i="2"/>
  <c r="N145" i="2"/>
  <c r="M145" i="2"/>
  <c r="O144" i="2"/>
  <c r="N144" i="2"/>
  <c r="M144" i="2"/>
  <c r="O143" i="2"/>
  <c r="N143" i="2"/>
  <c r="O142" i="2"/>
  <c r="N142" i="2"/>
  <c r="M142" i="2"/>
  <c r="O141" i="2"/>
  <c r="N141" i="2"/>
  <c r="M141" i="2"/>
  <c r="G150" i="2"/>
  <c r="F150" i="2"/>
  <c r="G149" i="2"/>
  <c r="G148" i="2"/>
  <c r="F148" i="2"/>
  <c r="G147" i="2"/>
  <c r="F147" i="2"/>
  <c r="G146" i="2"/>
  <c r="F146" i="2"/>
  <c r="G145" i="2"/>
  <c r="F145" i="2"/>
  <c r="G144" i="2"/>
  <c r="F144" i="2"/>
  <c r="G143" i="2"/>
  <c r="G142" i="2"/>
  <c r="F142" i="2"/>
  <c r="E142" i="2"/>
  <c r="G141" i="2"/>
  <c r="F141" i="2"/>
  <c r="W138" i="2"/>
  <c r="V138" i="2"/>
  <c r="U138" i="2"/>
  <c r="W137" i="2"/>
  <c r="V137" i="2"/>
  <c r="U137" i="2"/>
  <c r="W136" i="2"/>
  <c r="V136" i="2"/>
  <c r="U136" i="2"/>
  <c r="W135" i="2"/>
  <c r="V135" i="2"/>
  <c r="U135" i="2"/>
  <c r="W134" i="2"/>
  <c r="V134" i="2"/>
  <c r="U134" i="2"/>
  <c r="W133" i="2"/>
  <c r="V133" i="2"/>
  <c r="U133" i="2"/>
  <c r="W131" i="2"/>
  <c r="V131" i="2"/>
  <c r="U131" i="2"/>
  <c r="O138" i="2"/>
  <c r="N138" i="2"/>
  <c r="K138" i="2"/>
  <c r="J138" i="2"/>
  <c r="I138" i="2"/>
  <c r="G138" i="2"/>
  <c r="F138" i="2"/>
  <c r="O137" i="2"/>
  <c r="N137" i="2"/>
  <c r="K137" i="2"/>
  <c r="J137" i="2"/>
  <c r="I137" i="2"/>
  <c r="G137" i="2"/>
  <c r="O136" i="2"/>
  <c r="N136" i="2"/>
  <c r="K136" i="2"/>
  <c r="J136" i="2"/>
  <c r="I136" i="2"/>
  <c r="G136" i="2"/>
  <c r="F136" i="2"/>
  <c r="O135" i="2"/>
  <c r="N135" i="2"/>
  <c r="M135" i="2"/>
  <c r="K135" i="2"/>
  <c r="J135" i="2"/>
  <c r="I135" i="2"/>
  <c r="G135" i="2"/>
  <c r="O134" i="2"/>
  <c r="N134" i="2"/>
  <c r="M134" i="2"/>
  <c r="K134" i="2"/>
  <c r="J134" i="2"/>
  <c r="I134" i="2"/>
  <c r="G134" i="2"/>
  <c r="F134" i="2"/>
  <c r="O133" i="2"/>
  <c r="N133" i="2"/>
  <c r="M133" i="2"/>
  <c r="K133" i="2"/>
  <c r="J133" i="2"/>
  <c r="I133" i="2"/>
  <c r="G133" i="2"/>
  <c r="O131" i="2"/>
  <c r="N131" i="2"/>
  <c r="M131" i="2"/>
  <c r="K131" i="2"/>
  <c r="J131" i="2"/>
  <c r="I131" i="2"/>
  <c r="G131" i="2"/>
  <c r="F131" i="2"/>
  <c r="W129" i="2"/>
  <c r="V129" i="2"/>
  <c r="U129" i="2"/>
  <c r="W128" i="2"/>
  <c r="V128" i="2"/>
  <c r="W127" i="2"/>
  <c r="V127" i="2"/>
  <c r="U127" i="2"/>
  <c r="W126" i="2"/>
  <c r="V126" i="2"/>
  <c r="W125" i="2"/>
  <c r="V125" i="2"/>
  <c r="U125" i="2"/>
  <c r="W124" i="2"/>
  <c r="V124" i="2"/>
  <c r="U124" i="2"/>
  <c r="W123" i="2"/>
  <c r="V123" i="2"/>
  <c r="U123" i="2"/>
  <c r="W121" i="2"/>
  <c r="V121" i="2"/>
  <c r="U121" i="2"/>
  <c r="O129" i="2"/>
  <c r="N129" i="2"/>
  <c r="M129" i="2"/>
  <c r="O127" i="2"/>
  <c r="N127" i="2"/>
  <c r="M127" i="2"/>
  <c r="O126" i="2"/>
  <c r="N126" i="2"/>
  <c r="M126" i="2"/>
  <c r="O125" i="2"/>
  <c r="N125" i="2"/>
  <c r="M125" i="2"/>
  <c r="O124" i="2"/>
  <c r="N124" i="2"/>
  <c r="M124" i="2"/>
  <c r="O123" i="2"/>
  <c r="N123" i="2"/>
  <c r="M123" i="2"/>
  <c r="O121" i="2"/>
  <c r="N121" i="2"/>
  <c r="M121" i="2"/>
  <c r="G129" i="2"/>
  <c r="F129" i="2"/>
  <c r="G127" i="2"/>
  <c r="F127" i="2"/>
  <c r="G126" i="2"/>
  <c r="F126" i="2"/>
  <c r="G125" i="2"/>
  <c r="F125" i="2"/>
  <c r="J124" i="2"/>
  <c r="G124" i="2"/>
  <c r="G123" i="2"/>
  <c r="F123" i="2"/>
  <c r="G121" i="2"/>
  <c r="F121" i="2"/>
  <c r="W119" i="2"/>
  <c r="V119" i="2"/>
  <c r="U119" i="2"/>
  <c r="W118" i="2"/>
  <c r="V118" i="2"/>
  <c r="U118" i="2"/>
  <c r="W117" i="2"/>
  <c r="V117" i="2"/>
  <c r="U117" i="2"/>
  <c r="W116" i="2"/>
  <c r="V116" i="2"/>
  <c r="W115" i="2"/>
  <c r="V115" i="2"/>
  <c r="W113" i="2"/>
  <c r="W112" i="2"/>
  <c r="V112" i="2"/>
  <c r="W111" i="2"/>
  <c r="V111" i="2"/>
  <c r="W110" i="2"/>
  <c r="V110" i="2"/>
  <c r="W109" i="2"/>
  <c r="V109" i="2"/>
  <c r="W108" i="2"/>
  <c r="V108" i="2"/>
  <c r="W106" i="2"/>
  <c r="V106" i="2"/>
  <c r="W105" i="2"/>
  <c r="V105" i="2"/>
  <c r="W104" i="2"/>
  <c r="V104" i="2"/>
  <c r="W103" i="2"/>
  <c r="V103" i="2"/>
  <c r="U103" i="2"/>
  <c r="W102" i="2"/>
  <c r="V102" i="2"/>
  <c r="W101" i="2"/>
  <c r="V101" i="2"/>
  <c r="W100" i="2"/>
  <c r="V100" i="2"/>
  <c r="W98" i="2"/>
  <c r="V98" i="2"/>
  <c r="U98" i="2"/>
  <c r="O119" i="2"/>
  <c r="N119" i="2"/>
  <c r="M119" i="2"/>
  <c r="O118" i="2"/>
  <c r="N118" i="2"/>
  <c r="M118" i="2"/>
  <c r="O117" i="2"/>
  <c r="N117" i="2"/>
  <c r="M117" i="2"/>
  <c r="O116" i="2"/>
  <c r="N116" i="2"/>
  <c r="M116" i="2"/>
  <c r="O115" i="2"/>
  <c r="N115" i="2"/>
  <c r="M115" i="2"/>
  <c r="O113" i="2"/>
  <c r="N113" i="2"/>
  <c r="M113" i="2"/>
  <c r="O112" i="2"/>
  <c r="N112" i="2"/>
  <c r="M112" i="2"/>
  <c r="O111" i="2"/>
  <c r="N111" i="2"/>
  <c r="M111" i="2"/>
  <c r="O110" i="2"/>
  <c r="N110" i="2"/>
  <c r="M110" i="2"/>
  <c r="O109" i="2"/>
  <c r="N109" i="2"/>
  <c r="M109" i="2"/>
  <c r="O108" i="2"/>
  <c r="N108" i="2"/>
  <c r="M108" i="2"/>
  <c r="O106" i="2"/>
  <c r="N106" i="2"/>
  <c r="M106" i="2"/>
  <c r="O105" i="2"/>
  <c r="N105" i="2"/>
  <c r="M105" i="2"/>
  <c r="O104" i="2"/>
  <c r="N104" i="2"/>
  <c r="M104" i="2"/>
  <c r="O103" i="2"/>
  <c r="N103" i="2"/>
  <c r="M103" i="2"/>
  <c r="O102" i="2"/>
  <c r="N102" i="2"/>
  <c r="M102" i="2"/>
  <c r="O101" i="2"/>
  <c r="N101" i="2"/>
  <c r="M101" i="2"/>
  <c r="O100" i="2"/>
  <c r="N100" i="2"/>
  <c r="M100" i="2"/>
  <c r="O98" i="2"/>
  <c r="N98" i="2"/>
  <c r="M98" i="2"/>
  <c r="G119" i="2"/>
  <c r="F119" i="2"/>
  <c r="G118" i="2"/>
  <c r="G117" i="2"/>
  <c r="F117" i="2"/>
  <c r="G116" i="2"/>
  <c r="F116" i="2"/>
  <c r="G115" i="2"/>
  <c r="F115" i="2"/>
  <c r="G113" i="2"/>
  <c r="F113" i="2"/>
  <c r="G112" i="2"/>
  <c r="F112" i="2"/>
  <c r="G111" i="2"/>
  <c r="G110" i="2"/>
  <c r="F110" i="2"/>
  <c r="G109" i="2"/>
  <c r="G108" i="2"/>
  <c r="F108" i="2"/>
  <c r="G106" i="2"/>
  <c r="G105" i="2"/>
  <c r="G104" i="2"/>
  <c r="F104" i="2"/>
  <c r="G103" i="2"/>
  <c r="F103" i="2"/>
  <c r="E103" i="2"/>
  <c r="G102" i="2"/>
  <c r="G101" i="2"/>
  <c r="F101" i="2"/>
  <c r="G100" i="2"/>
  <c r="F100" i="2"/>
  <c r="G98" i="2"/>
  <c r="F98" i="2"/>
  <c r="W96" i="2"/>
  <c r="V96" i="2"/>
  <c r="U96" i="2"/>
  <c r="W94" i="2"/>
  <c r="V94" i="2"/>
  <c r="U94" i="2"/>
  <c r="O96" i="2"/>
  <c r="N96" i="2"/>
  <c r="M96" i="2"/>
  <c r="O94" i="2"/>
  <c r="N94" i="2"/>
  <c r="M94" i="2"/>
  <c r="G96" i="2"/>
  <c r="F96" i="2"/>
  <c r="G94" i="2"/>
  <c r="F94" i="2"/>
  <c r="W92" i="2"/>
  <c r="V92" i="2"/>
  <c r="U92" i="2"/>
  <c r="W91" i="2"/>
  <c r="V91" i="2"/>
  <c r="U91" i="2"/>
  <c r="W89" i="2"/>
  <c r="V89" i="2"/>
  <c r="U89" i="2"/>
  <c r="W88" i="2"/>
  <c r="V88" i="2"/>
  <c r="U88" i="2"/>
  <c r="W86" i="2"/>
  <c r="V86" i="2"/>
  <c r="U86" i="2"/>
  <c r="W85" i="2"/>
  <c r="V85" i="2"/>
  <c r="U85" i="2"/>
  <c r="W84" i="2"/>
  <c r="V84" i="2"/>
  <c r="U84" i="2"/>
  <c r="W83" i="2"/>
  <c r="V83" i="2"/>
  <c r="U83" i="2"/>
  <c r="W82" i="2"/>
  <c r="V82" i="2"/>
  <c r="U82" i="2"/>
  <c r="W81" i="2"/>
  <c r="V81" i="2"/>
  <c r="U81" i="2"/>
  <c r="W80" i="2"/>
  <c r="V80" i="2"/>
  <c r="U80" i="2"/>
  <c r="O92" i="2"/>
  <c r="N92" i="2"/>
  <c r="M92" i="2"/>
  <c r="O91" i="2"/>
  <c r="N91" i="2"/>
  <c r="M91" i="2"/>
  <c r="O89" i="2"/>
  <c r="N89" i="2"/>
  <c r="O88" i="2"/>
  <c r="N88" i="2"/>
  <c r="M88" i="2"/>
  <c r="O86" i="2"/>
  <c r="N86" i="2"/>
  <c r="O85" i="2"/>
  <c r="N85" i="2"/>
  <c r="O84" i="2"/>
  <c r="N84" i="2"/>
  <c r="M84" i="2"/>
  <c r="O83" i="2"/>
  <c r="N83" i="2"/>
  <c r="M83" i="2"/>
  <c r="O82" i="2"/>
  <c r="N82" i="2"/>
  <c r="M82" i="2"/>
  <c r="O81" i="2"/>
  <c r="N81" i="2"/>
  <c r="M81" i="2"/>
  <c r="O80" i="2"/>
  <c r="N80" i="2"/>
  <c r="M80" i="2"/>
  <c r="K92" i="2"/>
  <c r="J92" i="2"/>
  <c r="I92" i="2"/>
  <c r="G92" i="2"/>
  <c r="F92" i="2"/>
  <c r="K91" i="2"/>
  <c r="J91" i="2"/>
  <c r="I91" i="2"/>
  <c r="G91" i="2"/>
  <c r="F91" i="2"/>
  <c r="E91" i="2"/>
  <c r="K89" i="2"/>
  <c r="J89" i="2"/>
  <c r="I89" i="2"/>
  <c r="G89" i="2"/>
  <c r="F89" i="2"/>
  <c r="K88" i="2"/>
  <c r="J88" i="2"/>
  <c r="I88" i="2"/>
  <c r="G88" i="2"/>
  <c r="E88" i="2"/>
  <c r="G86" i="2"/>
  <c r="F86" i="2"/>
  <c r="G85" i="2"/>
  <c r="F85" i="2"/>
  <c r="G84" i="2"/>
  <c r="F84" i="2"/>
  <c r="G83" i="2"/>
  <c r="F83" i="2"/>
  <c r="G82" i="2"/>
  <c r="F82" i="2"/>
  <c r="G80" i="2"/>
  <c r="F80" i="2"/>
  <c r="E80" i="2"/>
  <c r="W77" i="2"/>
  <c r="V77" i="2"/>
  <c r="U77" i="2"/>
  <c r="W76" i="2"/>
  <c r="V76" i="2"/>
  <c r="U76" i="2"/>
  <c r="W75" i="2"/>
  <c r="V75" i="2"/>
  <c r="U75" i="2"/>
  <c r="W73" i="2"/>
  <c r="V73" i="2"/>
  <c r="U73" i="2"/>
  <c r="W72" i="2"/>
  <c r="V72" i="2"/>
  <c r="U72" i="2"/>
  <c r="O77" i="2"/>
  <c r="N77" i="2"/>
  <c r="M77" i="2"/>
  <c r="K77" i="2"/>
  <c r="J77" i="2"/>
  <c r="G77" i="2"/>
  <c r="O76" i="2"/>
  <c r="N76" i="2"/>
  <c r="M76" i="2"/>
  <c r="K76" i="2"/>
  <c r="J76" i="2"/>
  <c r="G76" i="2"/>
  <c r="F76" i="2"/>
  <c r="O75" i="2"/>
  <c r="N75" i="2"/>
  <c r="M75" i="2"/>
  <c r="K75" i="2"/>
  <c r="J75" i="2"/>
  <c r="G75" i="2"/>
  <c r="F75" i="2"/>
  <c r="O73" i="2"/>
  <c r="N73" i="2"/>
  <c r="M73" i="2"/>
  <c r="K73" i="2"/>
  <c r="J73" i="2"/>
  <c r="G73" i="2"/>
  <c r="F73" i="2"/>
  <c r="O72" i="2"/>
  <c r="N72" i="2"/>
  <c r="M72" i="2"/>
  <c r="K72" i="2"/>
  <c r="J72" i="2"/>
  <c r="G72" i="2"/>
  <c r="F72" i="2"/>
  <c r="W69" i="2"/>
  <c r="V69" i="2"/>
  <c r="U69" i="2"/>
  <c r="W68" i="2"/>
  <c r="V68" i="2"/>
  <c r="U68" i="2"/>
  <c r="W66" i="2"/>
  <c r="V66" i="2"/>
  <c r="U66" i="2"/>
  <c r="W65" i="2"/>
  <c r="V65" i="2"/>
  <c r="U65" i="2"/>
  <c r="W64" i="2"/>
  <c r="U64" i="2"/>
  <c r="W63" i="2"/>
  <c r="V63" i="2"/>
  <c r="U63" i="2"/>
  <c r="W61" i="2"/>
  <c r="V61" i="2"/>
  <c r="U61" i="2"/>
  <c r="W60" i="2"/>
  <c r="U60" i="2"/>
  <c r="W59" i="2"/>
  <c r="V59" i="2"/>
  <c r="U59" i="2"/>
  <c r="W58" i="2"/>
  <c r="V58" i="2"/>
  <c r="U58" i="2"/>
  <c r="W57" i="2"/>
  <c r="V57" i="2"/>
  <c r="U57" i="2"/>
  <c r="W56" i="2"/>
  <c r="V56" i="2"/>
  <c r="U56" i="2"/>
  <c r="O69" i="2"/>
  <c r="N69" i="2"/>
  <c r="M69" i="2"/>
  <c r="K69" i="2"/>
  <c r="O68" i="2"/>
  <c r="N68" i="2"/>
  <c r="M68" i="2"/>
  <c r="K68" i="2"/>
  <c r="O66" i="2"/>
  <c r="N66" i="2"/>
  <c r="K66" i="2"/>
  <c r="O65" i="2"/>
  <c r="N65" i="2"/>
  <c r="M65" i="2"/>
  <c r="K65" i="2"/>
  <c r="O64" i="2"/>
  <c r="N64" i="2"/>
  <c r="K64" i="2"/>
  <c r="O63" i="2"/>
  <c r="N63" i="2"/>
  <c r="M63" i="2"/>
  <c r="K63" i="2"/>
  <c r="O61" i="2"/>
  <c r="N61" i="2"/>
  <c r="M61" i="2"/>
  <c r="K61" i="2"/>
  <c r="O60" i="2"/>
  <c r="N60" i="2"/>
  <c r="M60" i="2"/>
  <c r="K60" i="2"/>
  <c r="O59" i="2"/>
  <c r="N59" i="2"/>
  <c r="M59" i="2"/>
  <c r="K59" i="2"/>
  <c r="J59" i="2"/>
  <c r="O58" i="2"/>
  <c r="N58" i="2"/>
  <c r="M58" i="2"/>
  <c r="K58" i="2"/>
  <c r="O57" i="2"/>
  <c r="N57" i="2"/>
  <c r="M57" i="2"/>
  <c r="K57" i="2"/>
  <c r="O56" i="2"/>
  <c r="N56" i="2"/>
  <c r="M56" i="2"/>
  <c r="K56" i="2"/>
  <c r="G69" i="2"/>
  <c r="F69" i="2"/>
  <c r="I68" i="2"/>
  <c r="G68" i="2"/>
  <c r="F68" i="2"/>
  <c r="G66" i="2"/>
  <c r="F66" i="2"/>
  <c r="G65" i="2"/>
  <c r="F65" i="2"/>
  <c r="G64" i="2"/>
  <c r="F64" i="2"/>
  <c r="G63" i="2"/>
  <c r="F63" i="2"/>
  <c r="G61" i="2"/>
  <c r="F61" i="2"/>
  <c r="G60" i="2"/>
  <c r="F60" i="2"/>
  <c r="E60" i="2"/>
  <c r="G59" i="2"/>
  <c r="F59" i="2"/>
  <c r="G58" i="2"/>
  <c r="G57" i="2"/>
  <c r="G56" i="2"/>
  <c r="W53" i="2"/>
  <c r="V53" i="2"/>
  <c r="U53" i="2"/>
  <c r="W52" i="2"/>
  <c r="V52" i="2"/>
  <c r="U52" i="2"/>
  <c r="W51" i="2"/>
  <c r="V51" i="2"/>
  <c r="U51" i="2"/>
  <c r="W49" i="2"/>
  <c r="V49" i="2"/>
  <c r="U49" i="2"/>
  <c r="O53" i="2"/>
  <c r="N53" i="2"/>
  <c r="M53" i="2"/>
  <c r="K53" i="2"/>
  <c r="O52" i="2"/>
  <c r="N52" i="2"/>
  <c r="M52" i="2"/>
  <c r="K52" i="2"/>
  <c r="O51" i="2"/>
  <c r="N51" i="2"/>
  <c r="M51" i="2"/>
  <c r="K51" i="2"/>
  <c r="O49" i="2"/>
  <c r="N49" i="2"/>
  <c r="M49" i="2"/>
  <c r="K49" i="2"/>
  <c r="G53" i="2"/>
  <c r="F53" i="2"/>
  <c r="E53" i="2"/>
  <c r="I52" i="2"/>
  <c r="G52" i="2"/>
  <c r="F52" i="2"/>
  <c r="G51" i="2"/>
  <c r="F51" i="2"/>
  <c r="G49" i="2"/>
  <c r="F49" i="2"/>
  <c r="W47" i="2"/>
  <c r="V47" i="2"/>
  <c r="U47" i="2"/>
  <c r="W46" i="2"/>
  <c r="V46" i="2"/>
  <c r="U46" i="2"/>
  <c r="W45" i="2"/>
  <c r="V45" i="2"/>
  <c r="U45" i="2"/>
  <c r="W44" i="2"/>
  <c r="V44" i="2"/>
  <c r="W43" i="2"/>
  <c r="V43" i="2"/>
  <c r="U43" i="2"/>
  <c r="W42" i="2"/>
  <c r="V42" i="2"/>
  <c r="U42" i="2"/>
  <c r="W40" i="2"/>
  <c r="V40" i="2"/>
  <c r="U40" i="2"/>
  <c r="W39" i="2"/>
  <c r="V39" i="2"/>
  <c r="U39" i="2"/>
  <c r="O47" i="2"/>
  <c r="N47" i="2"/>
  <c r="M47" i="2"/>
  <c r="K47" i="2"/>
  <c r="J47" i="2"/>
  <c r="O46" i="2"/>
  <c r="N46" i="2"/>
  <c r="K46" i="2"/>
  <c r="J46" i="2"/>
  <c r="O45" i="2"/>
  <c r="N45" i="2"/>
  <c r="M45" i="2"/>
  <c r="K45" i="2"/>
  <c r="O44" i="2"/>
  <c r="M44" i="2"/>
  <c r="K44" i="2"/>
  <c r="O43" i="2"/>
  <c r="N43" i="2"/>
  <c r="K43" i="2"/>
  <c r="O42" i="2"/>
  <c r="N42" i="2"/>
  <c r="M42" i="2"/>
  <c r="K42" i="2"/>
  <c r="O40" i="2"/>
  <c r="N40" i="2"/>
  <c r="K40" i="2"/>
  <c r="O39" i="2"/>
  <c r="N39" i="2"/>
  <c r="M39" i="2"/>
  <c r="K39" i="2"/>
  <c r="G47" i="2"/>
  <c r="F47" i="2"/>
  <c r="G46" i="2"/>
  <c r="F46" i="2"/>
  <c r="G45" i="2"/>
  <c r="G44" i="2"/>
  <c r="G43" i="2"/>
  <c r="F43" i="2"/>
  <c r="G42" i="2"/>
  <c r="F42" i="2"/>
  <c r="G40" i="2"/>
  <c r="F40" i="2"/>
  <c r="G39" i="2"/>
  <c r="W37" i="2"/>
  <c r="V37" i="2"/>
  <c r="U37" i="2"/>
  <c r="W36" i="2"/>
  <c r="V36" i="2"/>
  <c r="U36" i="2"/>
  <c r="W35" i="2"/>
  <c r="V35" i="2"/>
  <c r="U35" i="2"/>
  <c r="W33" i="2"/>
  <c r="V33" i="2"/>
  <c r="U33" i="2"/>
  <c r="W32" i="2"/>
  <c r="V32" i="2"/>
  <c r="U32" i="2"/>
  <c r="W31" i="2"/>
  <c r="V31" i="2"/>
  <c r="U31" i="2"/>
  <c r="W30" i="2"/>
  <c r="V30" i="2"/>
  <c r="U30" i="2"/>
  <c r="W29" i="2"/>
  <c r="V29" i="2"/>
  <c r="U29" i="2"/>
  <c r="W28" i="2"/>
  <c r="V28" i="2"/>
  <c r="U28" i="2"/>
  <c r="W27" i="2"/>
  <c r="V27" i="2"/>
  <c r="U27" i="2"/>
  <c r="W26" i="2"/>
  <c r="V26" i="2"/>
  <c r="U26" i="2"/>
  <c r="O37" i="2"/>
  <c r="N37" i="2"/>
  <c r="M37" i="2"/>
  <c r="K37" i="2"/>
  <c r="J37" i="2"/>
  <c r="G37" i="2"/>
  <c r="F37" i="2"/>
  <c r="O36" i="2"/>
  <c r="N36" i="2"/>
  <c r="M36" i="2"/>
  <c r="K36" i="2"/>
  <c r="J36" i="2"/>
  <c r="G36" i="2"/>
  <c r="F36" i="2"/>
  <c r="O35" i="2"/>
  <c r="N35" i="2"/>
  <c r="M35" i="2"/>
  <c r="K35" i="2"/>
  <c r="J35" i="2"/>
  <c r="G35" i="2"/>
  <c r="F35" i="2"/>
  <c r="O33" i="2"/>
  <c r="N33" i="2"/>
  <c r="M33" i="2"/>
  <c r="K33" i="2"/>
  <c r="J33" i="2"/>
  <c r="G33" i="2"/>
  <c r="F33" i="2"/>
  <c r="O32" i="2"/>
  <c r="N32" i="2"/>
  <c r="M32" i="2"/>
  <c r="K32" i="2"/>
  <c r="J32" i="2"/>
  <c r="G32" i="2"/>
  <c r="F32" i="2"/>
  <c r="O31" i="2"/>
  <c r="N31" i="2"/>
  <c r="M31" i="2"/>
  <c r="K31" i="2"/>
  <c r="J31" i="2"/>
  <c r="G31" i="2"/>
  <c r="F31" i="2"/>
  <c r="O30" i="2"/>
  <c r="N30" i="2"/>
  <c r="M30" i="2"/>
  <c r="K30" i="2"/>
  <c r="J30" i="2"/>
  <c r="G30" i="2"/>
  <c r="F30" i="2"/>
  <c r="O29" i="2"/>
  <c r="N29" i="2"/>
  <c r="M29" i="2"/>
  <c r="K29" i="2"/>
  <c r="J29" i="2"/>
  <c r="G29" i="2"/>
  <c r="F29" i="2"/>
  <c r="O28" i="2"/>
  <c r="N28" i="2"/>
  <c r="M28" i="2"/>
  <c r="K28" i="2"/>
  <c r="J28" i="2"/>
  <c r="G28" i="2"/>
  <c r="F28" i="2"/>
  <c r="O27" i="2"/>
  <c r="N27" i="2"/>
  <c r="M27" i="2"/>
  <c r="K27" i="2"/>
  <c r="J27" i="2"/>
  <c r="G27" i="2"/>
  <c r="F27" i="2"/>
  <c r="O26" i="2"/>
  <c r="N26" i="2"/>
  <c r="M26" i="2"/>
  <c r="K26" i="2"/>
  <c r="J26" i="2"/>
  <c r="G26" i="2"/>
  <c r="F26" i="2"/>
  <c r="W23" i="2"/>
  <c r="V23" i="2"/>
  <c r="U23" i="2"/>
  <c r="W22" i="2"/>
  <c r="V22" i="2"/>
  <c r="U22" i="2"/>
  <c r="W21" i="2"/>
  <c r="V21" i="2"/>
  <c r="U21" i="2"/>
  <c r="W20" i="2"/>
  <c r="V20" i="2"/>
  <c r="U20" i="2"/>
  <c r="W19" i="2"/>
  <c r="V19" i="2"/>
  <c r="U19" i="2"/>
  <c r="W18" i="2"/>
  <c r="V18" i="2"/>
  <c r="U18" i="2"/>
  <c r="W17" i="2"/>
  <c r="V17" i="2"/>
  <c r="U17" i="2"/>
  <c r="W15" i="2"/>
  <c r="V15" i="2"/>
  <c r="U15" i="2"/>
  <c r="W14" i="2"/>
  <c r="V14" i="2"/>
  <c r="U14" i="2"/>
  <c r="W13" i="2"/>
  <c r="V13" i="2"/>
  <c r="U13" i="2"/>
  <c r="W12" i="2"/>
  <c r="V12" i="2"/>
  <c r="U12" i="2"/>
  <c r="O23" i="2"/>
  <c r="N23" i="2"/>
  <c r="M23" i="2"/>
  <c r="O22" i="2"/>
  <c r="N22" i="2"/>
  <c r="M22" i="2"/>
  <c r="O21" i="2"/>
  <c r="N21" i="2"/>
  <c r="M21" i="2"/>
  <c r="O20" i="2"/>
  <c r="N20" i="2"/>
  <c r="M20" i="2"/>
  <c r="O19" i="2"/>
  <c r="N19" i="2"/>
  <c r="M19" i="2"/>
  <c r="O18" i="2"/>
  <c r="N18" i="2"/>
  <c r="M18" i="2"/>
  <c r="O17" i="2"/>
  <c r="N17" i="2"/>
  <c r="M17" i="2"/>
  <c r="O15" i="2"/>
  <c r="N15" i="2"/>
  <c r="M15" i="2"/>
  <c r="O14" i="2"/>
  <c r="N14" i="2"/>
  <c r="M14" i="2"/>
  <c r="O13" i="2"/>
  <c r="N13" i="2"/>
  <c r="M13" i="2"/>
  <c r="O12" i="2"/>
  <c r="N12" i="2"/>
  <c r="M12" i="2"/>
  <c r="O175" i="2" l="1"/>
  <c r="L176" i="2"/>
  <c r="D178" i="2"/>
  <c r="D177" i="2"/>
  <c r="D176" i="2"/>
  <c r="T174" i="2"/>
  <c r="L174" i="2"/>
  <c r="T173" i="2"/>
  <c r="W171" i="2"/>
  <c r="T172" i="2"/>
  <c r="T171" i="2" s="1"/>
  <c r="T170" i="2"/>
  <c r="T169" i="2"/>
  <c r="T168" i="2"/>
  <c r="W165" i="2"/>
  <c r="T164" i="2"/>
  <c r="T160" i="2"/>
  <c r="T159" i="2"/>
  <c r="V156" i="2"/>
  <c r="W156" i="2"/>
  <c r="T157" i="2"/>
  <c r="W152" i="2"/>
  <c r="V152" i="2"/>
  <c r="L173" i="2"/>
  <c r="N171" i="2"/>
  <c r="L170" i="2"/>
  <c r="L169" i="2"/>
  <c r="L168" i="2"/>
  <c r="O165" i="2"/>
  <c r="L164" i="2"/>
  <c r="L163" i="2"/>
  <c r="L160" i="2"/>
  <c r="L159" i="2"/>
  <c r="L158" i="2"/>
  <c r="O152" i="2"/>
  <c r="L155" i="2"/>
  <c r="L154" i="2"/>
  <c r="L153" i="2"/>
  <c r="D173" i="2"/>
  <c r="G171" i="2"/>
  <c r="D170" i="2"/>
  <c r="D169" i="2"/>
  <c r="D168" i="2"/>
  <c r="D167" i="2"/>
  <c r="D160" i="2"/>
  <c r="D159" i="2"/>
  <c r="D158" i="2"/>
  <c r="D155" i="2"/>
  <c r="D154" i="2"/>
  <c r="D137" i="2"/>
  <c r="V114" i="2"/>
  <c r="L103" i="2"/>
  <c r="L102" i="2"/>
  <c r="O99" i="2"/>
  <c r="M99" i="2"/>
  <c r="L100" i="2"/>
  <c r="D117" i="2"/>
  <c r="D116" i="2"/>
  <c r="G114" i="2"/>
  <c r="D113" i="2"/>
  <c r="D112" i="2"/>
  <c r="D111" i="2"/>
  <c r="D106" i="2"/>
  <c r="D104" i="2"/>
  <c r="E99" i="2"/>
  <c r="D101" i="2"/>
  <c r="D100" i="2"/>
  <c r="D98" i="2"/>
  <c r="T94" i="2"/>
  <c r="L96" i="2"/>
  <c r="L94" i="2"/>
  <c r="G95" i="2"/>
  <c r="G93" i="2" s="1"/>
  <c r="D94" i="2"/>
  <c r="W90" i="2"/>
  <c r="T91" i="2"/>
  <c r="W87" i="2"/>
  <c r="U87" i="2"/>
  <c r="T88" i="2"/>
  <c r="T86" i="2"/>
  <c r="T82" i="2"/>
  <c r="T81" i="2"/>
  <c r="W79" i="2"/>
  <c r="T80" i="2"/>
  <c r="L92" i="2"/>
  <c r="L88" i="2"/>
  <c r="L86" i="2"/>
  <c r="L85" i="2"/>
  <c r="L84" i="2"/>
  <c r="L83" i="2"/>
  <c r="L82" i="2"/>
  <c r="O79" i="2"/>
  <c r="J90" i="2"/>
  <c r="K90" i="2"/>
  <c r="F90" i="2"/>
  <c r="K87" i="2"/>
  <c r="H89" i="2"/>
  <c r="F87" i="2"/>
  <c r="J87" i="2"/>
  <c r="G87" i="2"/>
  <c r="D86" i="2"/>
  <c r="D85" i="2"/>
  <c r="D84" i="2"/>
  <c r="D83" i="2"/>
  <c r="G79" i="2"/>
  <c r="D80" i="2"/>
  <c r="V71" i="2"/>
  <c r="W71" i="2"/>
  <c r="L77" i="2"/>
  <c r="H77" i="2"/>
  <c r="N74" i="2"/>
  <c r="O74" i="2"/>
  <c r="M74" i="2"/>
  <c r="H75" i="2"/>
  <c r="N71" i="2"/>
  <c r="N70" i="2" s="1"/>
  <c r="H73" i="2"/>
  <c r="G71" i="2"/>
  <c r="O71" i="2"/>
  <c r="O70" i="2" s="1"/>
  <c r="M71" i="2"/>
  <c r="H72" i="2"/>
  <c r="H71" i="2" s="1"/>
  <c r="U67" i="2"/>
  <c r="T65" i="2"/>
  <c r="T64" i="2"/>
  <c r="W62" i="2"/>
  <c r="U62" i="2"/>
  <c r="T61" i="2"/>
  <c r="T59" i="2"/>
  <c r="T58" i="2"/>
  <c r="U55" i="2"/>
  <c r="T56" i="2"/>
  <c r="L69" i="2"/>
  <c r="L68" i="2"/>
  <c r="L66" i="2"/>
  <c r="H66" i="2"/>
  <c r="L65" i="2"/>
  <c r="N62" i="2"/>
  <c r="L63" i="2"/>
  <c r="L61" i="2"/>
  <c r="L60" i="2"/>
  <c r="O55" i="2"/>
  <c r="M55" i="2"/>
  <c r="J55" i="2"/>
  <c r="L58" i="2"/>
  <c r="H58" i="2"/>
  <c r="H57" i="2"/>
  <c r="N55" i="2"/>
  <c r="H56" i="2"/>
  <c r="F67" i="2"/>
  <c r="D68" i="2"/>
  <c r="D66" i="2"/>
  <c r="D64" i="2"/>
  <c r="D61" i="2"/>
  <c r="D59" i="2"/>
  <c r="D57" i="2"/>
  <c r="W50" i="2"/>
  <c r="T51" i="2"/>
  <c r="L53" i="2"/>
  <c r="H53" i="2"/>
  <c r="L49" i="2"/>
  <c r="K48" i="2"/>
  <c r="D53" i="2"/>
  <c r="H52" i="2"/>
  <c r="D52" i="2"/>
  <c r="D49" i="2"/>
  <c r="H40" i="2"/>
  <c r="H39" i="2"/>
  <c r="D44" i="2"/>
  <c r="F41" i="2"/>
  <c r="F38" i="2" s="1"/>
  <c r="V107" i="2"/>
  <c r="T111" i="2"/>
  <c r="T106" i="2"/>
  <c r="E13" i="3"/>
  <c r="E12" i="3"/>
  <c r="E14" i="3" s="1"/>
  <c r="E9" i="3"/>
  <c r="E8" i="3"/>
  <c r="E5" i="3"/>
  <c r="E17" i="3" s="1"/>
  <c r="E4" i="3"/>
  <c r="O90" i="2"/>
  <c r="E90" i="2"/>
  <c r="I87" i="2"/>
  <c r="F79" i="2"/>
  <c r="D77" i="2"/>
  <c r="H61" i="2"/>
  <c r="H60" i="2"/>
  <c r="I67" i="2"/>
  <c r="D39" i="2"/>
  <c r="G11" i="2"/>
  <c r="B5" i="1"/>
  <c r="C5" i="1"/>
  <c r="D5" i="1"/>
  <c r="F5" i="1"/>
  <c r="B7" i="1"/>
  <c r="C7" i="1"/>
  <c r="D7" i="1"/>
  <c r="F7" i="1"/>
  <c r="B9" i="1"/>
  <c r="C9" i="1"/>
  <c r="D9" i="1"/>
  <c r="F9" i="1"/>
  <c r="B16" i="1"/>
  <c r="C16" i="1"/>
  <c r="D16" i="1"/>
  <c r="F16" i="1"/>
  <c r="B28" i="1"/>
  <c r="C28" i="1"/>
  <c r="D28" i="1"/>
  <c r="F28" i="1"/>
  <c r="B55" i="1"/>
  <c r="C55" i="1"/>
  <c r="D55" i="1"/>
  <c r="F55" i="1"/>
  <c r="B65" i="1"/>
  <c r="C65" i="1"/>
  <c r="D65" i="1"/>
  <c r="F65" i="1"/>
  <c r="B113" i="1"/>
  <c r="C113" i="1"/>
  <c r="D113" i="1"/>
  <c r="F113" i="1"/>
  <c r="F112" i="1" s="1"/>
  <c r="F8" i="3" s="1"/>
  <c r="B118" i="1"/>
  <c r="C118" i="1"/>
  <c r="D118" i="1"/>
  <c r="F118" i="1"/>
  <c r="B129" i="1"/>
  <c r="B12" i="3" s="1"/>
  <c r="B14" i="3" s="1"/>
  <c r="C129" i="1"/>
  <c r="C12" i="3" s="1"/>
  <c r="D129" i="1"/>
  <c r="D12" i="3" s="1"/>
  <c r="F129" i="1"/>
  <c r="F12" i="3" s="1"/>
  <c r="E11" i="2"/>
  <c r="F11" i="2"/>
  <c r="I11" i="2"/>
  <c r="J11" i="2"/>
  <c r="K11" i="2"/>
  <c r="D12" i="2"/>
  <c r="H12" i="2"/>
  <c r="D13" i="2"/>
  <c r="H13" i="2"/>
  <c r="D14" i="2"/>
  <c r="H14" i="2"/>
  <c r="D15" i="2"/>
  <c r="H15" i="2"/>
  <c r="E16" i="2"/>
  <c r="F16" i="2"/>
  <c r="F10" i="2" s="1"/>
  <c r="G16" i="2"/>
  <c r="I16" i="2"/>
  <c r="J16" i="2"/>
  <c r="K16" i="2"/>
  <c r="D17" i="2"/>
  <c r="H17" i="2"/>
  <c r="D18" i="2"/>
  <c r="H18" i="2"/>
  <c r="D19" i="2"/>
  <c r="H19" i="2"/>
  <c r="D20" i="2"/>
  <c r="H20" i="2"/>
  <c r="D21" i="2"/>
  <c r="H21" i="2"/>
  <c r="D22" i="2"/>
  <c r="H22" i="2"/>
  <c r="D23" i="2"/>
  <c r="H23" i="2"/>
  <c r="E25" i="2"/>
  <c r="I25" i="2"/>
  <c r="H33" i="2"/>
  <c r="E34" i="2"/>
  <c r="I34" i="2"/>
  <c r="T37" i="2"/>
  <c r="E41" i="2"/>
  <c r="E38" i="2" s="1"/>
  <c r="I41" i="2"/>
  <c r="I38" i="2" s="1"/>
  <c r="J41" i="2"/>
  <c r="H43" i="2"/>
  <c r="H45" i="2"/>
  <c r="J38" i="2"/>
  <c r="D47" i="2"/>
  <c r="E50" i="2"/>
  <c r="E48" i="2" s="1"/>
  <c r="E107" i="2"/>
  <c r="E114" i="2"/>
  <c r="J50" i="2"/>
  <c r="J48" i="2" s="1"/>
  <c r="G50" i="2"/>
  <c r="G48" i="2" s="1"/>
  <c r="O50" i="2"/>
  <c r="O48" i="2" s="1"/>
  <c r="E55" i="2"/>
  <c r="I55" i="2"/>
  <c r="G55" i="2"/>
  <c r="D58" i="2"/>
  <c r="F55" i="2"/>
  <c r="E62" i="2"/>
  <c r="I62" i="2"/>
  <c r="J62" i="2"/>
  <c r="H63" i="2"/>
  <c r="H64" i="2"/>
  <c r="E67" i="2"/>
  <c r="J67" i="2"/>
  <c r="K67" i="2"/>
  <c r="N67" i="2"/>
  <c r="H69" i="2"/>
  <c r="E71" i="2"/>
  <c r="I71" i="2"/>
  <c r="E74" i="2"/>
  <c r="I74" i="2"/>
  <c r="W74" i="2"/>
  <c r="I79" i="2"/>
  <c r="J79" i="2"/>
  <c r="K79" i="2"/>
  <c r="H80" i="2"/>
  <c r="D81" i="2"/>
  <c r="H81" i="2"/>
  <c r="H82" i="2"/>
  <c r="H83" i="2"/>
  <c r="H84" i="2"/>
  <c r="H85" i="2"/>
  <c r="H86" i="2"/>
  <c r="E87" i="2"/>
  <c r="T89" i="2"/>
  <c r="H94" i="2"/>
  <c r="E95" i="2"/>
  <c r="E93" i="2" s="1"/>
  <c r="I95" i="2"/>
  <c r="I93" i="2" s="1"/>
  <c r="J95" i="2"/>
  <c r="J93" i="2" s="1"/>
  <c r="K95" i="2"/>
  <c r="K93" i="2" s="1"/>
  <c r="F95" i="2"/>
  <c r="F93" i="2" s="1"/>
  <c r="H96" i="2"/>
  <c r="H95" i="2" s="1"/>
  <c r="N95" i="2"/>
  <c r="N93" i="2" s="1"/>
  <c r="O95" i="2"/>
  <c r="O93" i="2" s="1"/>
  <c r="V95" i="2"/>
  <c r="W95" i="2"/>
  <c r="W93" i="2" s="1"/>
  <c r="H98" i="2"/>
  <c r="L98" i="2"/>
  <c r="I99" i="2"/>
  <c r="J99" i="2"/>
  <c r="K99" i="2"/>
  <c r="H100" i="2"/>
  <c r="H101" i="2"/>
  <c r="D102" i="2"/>
  <c r="H102" i="2"/>
  <c r="H103" i="2"/>
  <c r="H104" i="2"/>
  <c r="D105" i="2"/>
  <c r="H105" i="2"/>
  <c r="H106" i="2"/>
  <c r="I107" i="2"/>
  <c r="J107" i="2"/>
  <c r="K107" i="2"/>
  <c r="H108" i="2"/>
  <c r="D109" i="2"/>
  <c r="H109" i="2"/>
  <c r="H110" i="2"/>
  <c r="H111" i="2"/>
  <c r="H112" i="2"/>
  <c r="H113" i="2"/>
  <c r="I114" i="2"/>
  <c r="J114" i="2"/>
  <c r="K114" i="2"/>
  <c r="K97" i="2" s="1"/>
  <c r="H115" i="2"/>
  <c r="F114" i="2"/>
  <c r="H116" i="2"/>
  <c r="W114" i="2"/>
  <c r="H117" i="2"/>
  <c r="D118" i="2"/>
  <c r="H118" i="2"/>
  <c r="D119" i="2"/>
  <c r="H121" i="2"/>
  <c r="E122" i="2"/>
  <c r="E120" i="2" s="1"/>
  <c r="I122" i="2"/>
  <c r="I120" i="2" s="1"/>
  <c r="K122" i="2"/>
  <c r="K120" i="2" s="1"/>
  <c r="F122" i="2"/>
  <c r="F120" i="2" s="1"/>
  <c r="H123" i="2"/>
  <c r="N122" i="2"/>
  <c r="H125" i="2"/>
  <c r="H126" i="2"/>
  <c r="H127" i="2"/>
  <c r="H129" i="2"/>
  <c r="E132" i="2"/>
  <c r="E130" i="2" s="1"/>
  <c r="D133" i="2"/>
  <c r="F132" i="2"/>
  <c r="F130" i="2" s="1"/>
  <c r="O132" i="2"/>
  <c r="H136" i="2"/>
  <c r="H138" i="2"/>
  <c r="I140" i="2"/>
  <c r="I139" i="2" s="1"/>
  <c r="J140" i="2"/>
  <c r="J139" i="2" s="1"/>
  <c r="K140" i="2"/>
  <c r="K139" i="2" s="1"/>
  <c r="H141" i="2"/>
  <c r="E140" i="2"/>
  <c r="E139" i="2" s="1"/>
  <c r="H142" i="2"/>
  <c r="H140" i="2" s="1"/>
  <c r="H139" i="2" s="1"/>
  <c r="D143" i="2"/>
  <c r="H143" i="2"/>
  <c r="L143" i="2"/>
  <c r="H144" i="2"/>
  <c r="D145" i="2"/>
  <c r="H145" i="2"/>
  <c r="L145" i="2"/>
  <c r="H146" i="2"/>
  <c r="D147" i="2"/>
  <c r="H147" i="2"/>
  <c r="L147" i="2"/>
  <c r="H148" i="2"/>
  <c r="D149" i="2"/>
  <c r="H149" i="2"/>
  <c r="L149" i="2"/>
  <c r="H150" i="2"/>
  <c r="E152" i="2"/>
  <c r="I152" i="2"/>
  <c r="J152" i="2"/>
  <c r="K152" i="2"/>
  <c r="H153" i="2"/>
  <c r="H154" i="2"/>
  <c r="T154" i="2"/>
  <c r="H155" i="2"/>
  <c r="T155" i="2"/>
  <c r="E156" i="2"/>
  <c r="I156" i="2"/>
  <c r="J156" i="2"/>
  <c r="K156" i="2"/>
  <c r="K151" i="2" s="1"/>
  <c r="H157" i="2"/>
  <c r="M156" i="2"/>
  <c r="H158" i="2"/>
  <c r="H159" i="2"/>
  <c r="H160" i="2"/>
  <c r="E161" i="2"/>
  <c r="I161" i="2"/>
  <c r="J161" i="2"/>
  <c r="K161" i="2"/>
  <c r="F161" i="2"/>
  <c r="H162" i="2"/>
  <c r="H163" i="2"/>
  <c r="H164" i="2"/>
  <c r="E165" i="2"/>
  <c r="I165" i="2"/>
  <c r="J165" i="2"/>
  <c r="K165" i="2"/>
  <c r="H166" i="2"/>
  <c r="H167" i="2"/>
  <c r="H168" i="2"/>
  <c r="H169" i="2"/>
  <c r="H170" i="2"/>
  <c r="E171" i="2"/>
  <c r="I171" i="2"/>
  <c r="J171" i="2"/>
  <c r="K171" i="2"/>
  <c r="F171" i="2"/>
  <c r="H172" i="2"/>
  <c r="H171" i="2" s="1"/>
  <c r="O171" i="2"/>
  <c r="V171" i="2"/>
  <c r="H173" i="2"/>
  <c r="D174" i="2"/>
  <c r="H174" i="2"/>
  <c r="I175" i="2"/>
  <c r="J175" i="2"/>
  <c r="H176" i="2"/>
  <c r="H177" i="2"/>
  <c r="F175" i="2"/>
  <c r="H178" i="2"/>
  <c r="L178" i="2"/>
  <c r="M175" i="2"/>
  <c r="K175" i="2"/>
  <c r="G175" i="2"/>
  <c r="E175" i="2"/>
  <c r="U171" i="2"/>
  <c r="M171" i="2"/>
  <c r="F165" i="2"/>
  <c r="M161" i="2"/>
  <c r="G152" i="2"/>
  <c r="D141" i="2"/>
  <c r="D124" i="2"/>
  <c r="T121" i="2"/>
  <c r="D121" i="2"/>
  <c r="L108" i="2"/>
  <c r="N99" i="2"/>
  <c r="L166" i="2"/>
  <c r="T153" i="2"/>
  <c r="H133" i="2"/>
  <c r="F99" i="2"/>
  <c r="F25" i="2"/>
  <c r="L91" i="2"/>
  <c r="D88" i="2"/>
  <c r="L80" i="2"/>
  <c r="L75" i="2"/>
  <c r="L72" i="2"/>
  <c r="H68" i="2"/>
  <c r="V62" i="2"/>
  <c r="L56" i="2"/>
  <c r="D56" i="2"/>
  <c r="L51" i="2"/>
  <c r="D42" i="2"/>
  <c r="M34" i="2"/>
  <c r="H26" i="2"/>
  <c r="H88" i="2"/>
  <c r="T49" i="2"/>
  <c r="L42" i="2"/>
  <c r="H42" i="2"/>
  <c r="D40" i="2"/>
  <c r="L17" i="2"/>
  <c r="T167" i="2"/>
  <c r="D164" i="2"/>
  <c r="D153" i="2"/>
  <c r="U90" i="2"/>
  <c r="D60" i="2"/>
  <c r="L28" i="2"/>
  <c r="L52" i="2"/>
  <c r="W161" i="2"/>
  <c r="F156" i="2"/>
  <c r="M152" i="2"/>
  <c r="N140" i="2"/>
  <c r="N139" i="2" s="1"/>
  <c r="M132" i="2"/>
  <c r="M130" i="2" s="1"/>
  <c r="M87" i="2"/>
  <c r="T77" i="2"/>
  <c r="K55" i="2"/>
  <c r="N50" i="2"/>
  <c r="N48" i="2" s="1"/>
  <c r="L44" i="2"/>
  <c r="T33" i="2"/>
  <c r="L30" i="2"/>
  <c r="L21" i="2"/>
  <c r="U165" i="2"/>
  <c r="M165" i="2"/>
  <c r="O161" i="2"/>
  <c r="D163" i="2"/>
  <c r="N156" i="2"/>
  <c r="U152" i="2"/>
  <c r="F152" i="2"/>
  <c r="D103" i="2"/>
  <c r="V79" i="2"/>
  <c r="M79" i="2"/>
  <c r="D65" i="2"/>
  <c r="M62" i="2"/>
  <c r="T60" i="2"/>
  <c r="W55" i="2"/>
  <c r="L59" i="2"/>
  <c r="T53" i="2"/>
  <c r="D46" i="2"/>
  <c r="W41" i="2"/>
  <c r="W38" i="2" s="1"/>
  <c r="T27" i="2"/>
  <c r="K25" i="2"/>
  <c r="T22" i="2"/>
  <c r="T20" i="2"/>
  <c r="L18" i="2"/>
  <c r="O11" i="2"/>
  <c r="T158" i="2"/>
  <c r="K74" i="2"/>
  <c r="K71" i="2"/>
  <c r="D69" i="2"/>
  <c r="T57" i="2"/>
  <c r="D45" i="2"/>
  <c r="T13" i="2"/>
  <c r="T17" i="2"/>
  <c r="O62" i="2"/>
  <c r="L89" i="2"/>
  <c r="V41" i="2"/>
  <c r="V38" i="2" s="1"/>
  <c r="F62" i="2"/>
  <c r="L57" i="2"/>
  <c r="O67" i="2"/>
  <c r="H76" i="2"/>
  <c r="V87" i="2"/>
  <c r="T35" i="2"/>
  <c r="H46" i="2"/>
  <c r="T83" i="2"/>
  <c r="T66" i="2"/>
  <c r="H27" i="2"/>
  <c r="H29" i="2"/>
  <c r="H31" i="2"/>
  <c r="L32" i="2"/>
  <c r="T40" i="2"/>
  <c r="M50" i="2"/>
  <c r="M48" i="2" s="1"/>
  <c r="V50" i="2"/>
  <c r="V48" i="2" s="1"/>
  <c r="H92" i="2"/>
  <c r="T85" i="2"/>
  <c r="O87" i="2"/>
  <c r="T92" i="2"/>
  <c r="H79" i="2"/>
  <c r="D11" i="2"/>
  <c r="J10" i="2"/>
  <c r="B15" i="1"/>
  <c r="B4" i="1"/>
  <c r="L33" i="2"/>
  <c r="H59" i="2"/>
  <c r="W67" i="2"/>
  <c r="T84" i="2"/>
  <c r="M90" i="2"/>
  <c r="D112" i="1"/>
  <c r="D8" i="3" s="1"/>
  <c r="B112" i="1"/>
  <c r="B8" i="3" s="1"/>
  <c r="B10" i="3" s="1"/>
  <c r="C15" i="1"/>
  <c r="H93" i="2" l="1"/>
  <c r="H99" i="2"/>
  <c r="D4" i="1"/>
  <c r="I10" i="2"/>
  <c r="F15" i="1"/>
  <c r="U54" i="2"/>
  <c r="K10" i="2"/>
  <c r="M70" i="2"/>
  <c r="W78" i="2"/>
  <c r="E10" i="2"/>
  <c r="E6" i="3"/>
  <c r="H114" i="2"/>
  <c r="G10" i="2"/>
  <c r="I151" i="2"/>
  <c r="J97" i="2"/>
  <c r="D16" i="2"/>
  <c r="D10" i="2" s="1"/>
  <c r="E151" i="2"/>
  <c r="E16" i="3"/>
  <c r="E18" i="3" s="1"/>
  <c r="E10" i="3"/>
  <c r="J151" i="2"/>
  <c r="H107" i="2"/>
  <c r="I97" i="2"/>
  <c r="B3" i="1"/>
  <c r="H175" i="2"/>
  <c r="E70" i="2"/>
  <c r="I24" i="2"/>
  <c r="H16" i="2"/>
  <c r="H11" i="2"/>
  <c r="C112" i="1"/>
  <c r="D15" i="1"/>
  <c r="D3" i="1" s="1"/>
  <c r="F4" i="1"/>
  <c r="F3" i="1" s="1"/>
  <c r="C4" i="1"/>
  <c r="C3" i="1" s="1"/>
  <c r="C4" i="3" s="1"/>
  <c r="K78" i="2"/>
  <c r="E97" i="2"/>
  <c r="T90" i="2"/>
  <c r="H74" i="2"/>
  <c r="H70" i="2" s="1"/>
  <c r="L87" i="2"/>
  <c r="T113" i="2"/>
  <c r="L55" i="2"/>
  <c r="D67" i="2"/>
  <c r="H87" i="2"/>
  <c r="L90" i="2"/>
  <c r="L50" i="2"/>
  <c r="L48" i="2" s="1"/>
  <c r="W70" i="2"/>
  <c r="I70" i="2"/>
  <c r="E24" i="2"/>
  <c r="I54" i="2"/>
  <c r="F54" i="2"/>
  <c r="D152" i="2"/>
  <c r="H165" i="2"/>
  <c r="H161" i="2"/>
  <c r="H156" i="2"/>
  <c r="H152" i="2"/>
  <c r="K70" i="2"/>
  <c r="T152" i="2"/>
  <c r="L152" i="2"/>
  <c r="J54" i="2"/>
  <c r="L104" i="2"/>
  <c r="L105" i="2"/>
  <c r="L106" i="2"/>
  <c r="M107" i="2"/>
  <c r="O107" i="2"/>
  <c r="L110" i="2"/>
  <c r="L111" i="2"/>
  <c r="L112" i="2"/>
  <c r="L113" i="2"/>
  <c r="O114" i="2"/>
  <c r="N114" i="2"/>
  <c r="L117" i="2"/>
  <c r="L118" i="2"/>
  <c r="L119" i="2"/>
  <c r="T98" i="2"/>
  <c r="T103" i="2"/>
  <c r="W99" i="2"/>
  <c r="T117" i="2"/>
  <c r="T118" i="2"/>
  <c r="T119" i="2"/>
  <c r="H131" i="2"/>
  <c r="L131" i="2"/>
  <c r="I132" i="2"/>
  <c r="I130" i="2" s="1"/>
  <c r="K132" i="2"/>
  <c r="K130" i="2" s="1"/>
  <c r="D134" i="2"/>
  <c r="H134" i="2"/>
  <c r="L134" i="2"/>
  <c r="M151" i="2"/>
  <c r="N175" i="2"/>
  <c r="T176" i="2"/>
  <c r="W175" i="2"/>
  <c r="E54" i="2"/>
  <c r="T104" i="2"/>
  <c r="T109" i="2"/>
  <c r="T112" i="2"/>
  <c r="T116" i="2"/>
  <c r="M11" i="2"/>
  <c r="L13" i="2"/>
  <c r="L14" i="2"/>
  <c r="L15" i="2"/>
  <c r="M16" i="2"/>
  <c r="O16" i="2"/>
  <c r="O10" i="2" s="1"/>
  <c r="L19" i="2"/>
  <c r="L16" i="2" s="1"/>
  <c r="L20" i="2"/>
  <c r="L22" i="2"/>
  <c r="L23" i="2"/>
  <c r="T12" i="2"/>
  <c r="U11" i="2"/>
  <c r="W11" i="2"/>
  <c r="T14" i="2"/>
  <c r="T15" i="2"/>
  <c r="V16" i="2"/>
  <c r="T18" i="2"/>
  <c r="W16" i="2"/>
  <c r="T19" i="2"/>
  <c r="T21" i="2"/>
  <c r="T23" i="2"/>
  <c r="G25" i="2"/>
  <c r="N25" i="2"/>
  <c r="D27" i="2"/>
  <c r="J25" i="2"/>
  <c r="O25" i="2"/>
  <c r="D28" i="2"/>
  <c r="H28" i="2"/>
  <c r="D29" i="2"/>
  <c r="L29" i="2"/>
  <c r="D30" i="2"/>
  <c r="H30" i="2"/>
  <c r="D31" i="2"/>
  <c r="L31" i="2"/>
  <c r="D32" i="2"/>
  <c r="H32" i="2"/>
  <c r="D33" i="2"/>
  <c r="K34" i="2"/>
  <c r="K24" i="2" s="1"/>
  <c r="N34" i="2"/>
  <c r="F34" i="2"/>
  <c r="F24" i="2" s="1"/>
  <c r="L36" i="2"/>
  <c r="O34" i="2"/>
  <c r="D37" i="2"/>
  <c r="H37" i="2"/>
  <c r="U25" i="2"/>
  <c r="W25" i="2"/>
  <c r="V25" i="2"/>
  <c r="T28" i="2"/>
  <c r="T29" i="2"/>
  <c r="T30" i="2"/>
  <c r="T31" i="2"/>
  <c r="T32" i="2"/>
  <c r="U34" i="2"/>
  <c r="W34" i="2"/>
  <c r="T36" i="2"/>
  <c r="T34" i="2" s="1"/>
  <c r="J132" i="2"/>
  <c r="J130" i="2" s="1"/>
  <c r="L135" i="2"/>
  <c r="D136" i="2"/>
  <c r="L136" i="2"/>
  <c r="H137" i="2"/>
  <c r="L137" i="2"/>
  <c r="D138" i="2"/>
  <c r="L138" i="2"/>
  <c r="T131" i="2"/>
  <c r="U132" i="2"/>
  <c r="U130" i="2" s="1"/>
  <c r="W132" i="2"/>
  <c r="W130" i="2" s="1"/>
  <c r="T135" i="2"/>
  <c r="T136" i="2"/>
  <c r="T137" i="2"/>
  <c r="T138" i="2"/>
  <c r="M78" i="2"/>
  <c r="W54" i="2"/>
  <c r="F151" i="2"/>
  <c r="D43" i="2"/>
  <c r="D41" i="2" s="1"/>
  <c r="D38" i="2" s="1"/>
  <c r="L39" i="2"/>
  <c r="L40" i="2"/>
  <c r="M41" i="2"/>
  <c r="M38" i="2" s="1"/>
  <c r="O41" i="2"/>
  <c r="O38" i="2" s="1"/>
  <c r="L43" i="2"/>
  <c r="L45" i="2"/>
  <c r="L46" i="2"/>
  <c r="L47" i="2"/>
  <c r="T39" i="2"/>
  <c r="T43" i="2"/>
  <c r="T44" i="2"/>
  <c r="T45" i="2"/>
  <c r="T46" i="2"/>
  <c r="T47" i="2"/>
  <c r="G140" i="2"/>
  <c r="G139" i="2" s="1"/>
  <c r="D144" i="2"/>
  <c r="D146" i="2"/>
  <c r="D148" i="2"/>
  <c r="D150" i="2"/>
  <c r="O140" i="2"/>
  <c r="O139" i="2" s="1"/>
  <c r="L142" i="2"/>
  <c r="L144" i="2"/>
  <c r="L146" i="2"/>
  <c r="L148" i="2"/>
  <c r="L150" i="2"/>
  <c r="V140" i="2"/>
  <c r="V139" i="2" s="1"/>
  <c r="T142" i="2"/>
  <c r="W140" i="2"/>
  <c r="W139" i="2" s="1"/>
  <c r="T143" i="2"/>
  <c r="T144" i="2"/>
  <c r="T145" i="2"/>
  <c r="T146" i="2"/>
  <c r="T147" i="2"/>
  <c r="T148" i="2"/>
  <c r="T149" i="2"/>
  <c r="T150" i="2"/>
  <c r="W48" i="2"/>
  <c r="D55" i="2"/>
  <c r="N54" i="2"/>
  <c r="J78" i="2"/>
  <c r="O78" i="2"/>
  <c r="T79" i="2"/>
  <c r="D125" i="2"/>
  <c r="D126" i="2"/>
  <c r="D127" i="2"/>
  <c r="D129" i="2"/>
  <c r="O122" i="2"/>
  <c r="O120" i="2" s="1"/>
  <c r="L124" i="2"/>
  <c r="L125" i="2"/>
  <c r="L126" i="2"/>
  <c r="L127" i="2"/>
  <c r="L129" i="2"/>
  <c r="T123" i="2"/>
  <c r="T124" i="2"/>
  <c r="W122" i="2"/>
  <c r="W120" i="2" s="1"/>
  <c r="T125" i="2"/>
  <c r="T127" i="2"/>
  <c r="T129" i="2"/>
  <c r="W151" i="2"/>
  <c r="O130" i="2"/>
  <c r="L67" i="2"/>
  <c r="T55" i="2"/>
  <c r="D99" i="2"/>
  <c r="M25" i="2"/>
  <c r="M24" i="2" s="1"/>
  <c r="L27" i="2"/>
  <c r="D35" i="2"/>
  <c r="G34" i="2"/>
  <c r="H36" i="2"/>
  <c r="J34" i="2"/>
  <c r="K41" i="2"/>
  <c r="K38" i="2" s="1"/>
  <c r="H44" i="2"/>
  <c r="H41" i="2" s="1"/>
  <c r="T42" i="2"/>
  <c r="U41" i="2"/>
  <c r="U38" i="2" s="1"/>
  <c r="F50" i="2"/>
  <c r="F48" i="2" s="1"/>
  <c r="D51" i="2"/>
  <c r="D50" i="2" s="1"/>
  <c r="D48" i="2" s="1"/>
  <c r="H51" i="2"/>
  <c r="H50" i="2" s="1"/>
  <c r="K50" i="2"/>
  <c r="T52" i="2"/>
  <c r="T50" i="2" s="1"/>
  <c r="T48" i="2" s="1"/>
  <c r="U50" i="2"/>
  <c r="U48" i="2" s="1"/>
  <c r="G62" i="2"/>
  <c r="D63" i="2"/>
  <c r="D62" i="2" s="1"/>
  <c r="H65" i="2"/>
  <c r="K62" i="2"/>
  <c r="H62" i="2" s="1"/>
  <c r="V67" i="2"/>
  <c r="T68" i="2"/>
  <c r="F71" i="2"/>
  <c r="D72" i="2"/>
  <c r="F74" i="2"/>
  <c r="D75" i="2"/>
  <c r="D76" i="2"/>
  <c r="G74" i="2"/>
  <c r="G70" i="2" s="1"/>
  <c r="U71" i="2"/>
  <c r="T72" i="2"/>
  <c r="U74" i="2"/>
  <c r="T75" i="2"/>
  <c r="V74" i="2"/>
  <c r="V70" i="2" s="1"/>
  <c r="T76" i="2"/>
  <c r="I90" i="2"/>
  <c r="I78" i="2" s="1"/>
  <c r="H91" i="2"/>
  <c r="H90" i="2" s="1"/>
  <c r="G90" i="2"/>
  <c r="G78" i="2" s="1"/>
  <c r="D92" i="2"/>
  <c r="L81" i="2"/>
  <c r="L79" i="2" s="1"/>
  <c r="N79" i="2"/>
  <c r="U95" i="2"/>
  <c r="U93" i="2" s="1"/>
  <c r="T96" i="2"/>
  <c r="T95" i="2" s="1"/>
  <c r="T93" i="2" s="1"/>
  <c r="G107" i="2"/>
  <c r="D108" i="2"/>
  <c r="D110" i="2"/>
  <c r="F107" i="2"/>
  <c r="F97" i="2" s="1"/>
  <c r="L109" i="2"/>
  <c r="N107" i="2"/>
  <c r="M114" i="2"/>
  <c r="L115" i="2"/>
  <c r="V99" i="2"/>
  <c r="V97" i="2" s="1"/>
  <c r="T100" i="2"/>
  <c r="W107" i="2"/>
  <c r="T108" i="2"/>
  <c r="D123" i="2"/>
  <c r="G122" i="2"/>
  <c r="G120" i="2" s="1"/>
  <c r="J122" i="2"/>
  <c r="J120" i="2" s="1"/>
  <c r="H124" i="2"/>
  <c r="H122" i="2" s="1"/>
  <c r="H120" i="2" s="1"/>
  <c r="M122" i="2"/>
  <c r="M120" i="2" s="1"/>
  <c r="L123" i="2"/>
  <c r="D131" i="2"/>
  <c r="N132" i="2"/>
  <c r="N130" i="2" s="1"/>
  <c r="L133" i="2"/>
  <c r="G132" i="2"/>
  <c r="G130" i="2" s="1"/>
  <c r="D135" i="2"/>
  <c r="T134" i="2"/>
  <c r="V132" i="2"/>
  <c r="V130" i="2" s="1"/>
  <c r="F140" i="2"/>
  <c r="F139" i="2" s="1"/>
  <c r="D142" i="2"/>
  <c r="M140" i="2"/>
  <c r="M139" i="2" s="1"/>
  <c r="L141" i="2"/>
  <c r="G156" i="2"/>
  <c r="D157" i="2"/>
  <c r="D156" i="2" s="1"/>
  <c r="G161" i="2"/>
  <c r="D162" i="2"/>
  <c r="D161" i="2" s="1"/>
  <c r="D166" i="2"/>
  <c r="D165" i="2" s="1"/>
  <c r="G165" i="2"/>
  <c r="O156" i="2"/>
  <c r="O151" i="2" s="1"/>
  <c r="L157" i="2"/>
  <c r="L156" i="2" s="1"/>
  <c r="N161" i="2"/>
  <c r="L162" i="2"/>
  <c r="L161" i="2" s="1"/>
  <c r="L167" i="2"/>
  <c r="L165" i="2" s="1"/>
  <c r="N165" i="2"/>
  <c r="T162" i="2"/>
  <c r="U161" i="2"/>
  <c r="V161" i="2"/>
  <c r="T163" i="2"/>
  <c r="V165" i="2"/>
  <c r="T166" i="2"/>
  <c r="T165" i="2" s="1"/>
  <c r="T177" i="2"/>
  <c r="V175" i="2"/>
  <c r="T156" i="2"/>
  <c r="T87" i="2"/>
  <c r="N120" i="2"/>
  <c r="D175" i="2"/>
  <c r="U175" i="2"/>
  <c r="D73" i="2"/>
  <c r="L35" i="2"/>
  <c r="T73" i="2"/>
  <c r="M67" i="2"/>
  <c r="M54" i="2" s="1"/>
  <c r="V90" i="2"/>
  <c r="V78" i="2" s="1"/>
  <c r="T69" i="2"/>
  <c r="V122" i="2"/>
  <c r="V120" i="2" s="1"/>
  <c r="U16" i="2"/>
  <c r="L64" i="2"/>
  <c r="L62" i="2" s="1"/>
  <c r="L73" i="2"/>
  <c r="L71" i="2" s="1"/>
  <c r="L76" i="2"/>
  <c r="L74" i="2" s="1"/>
  <c r="N11" i="2"/>
  <c r="L101" i="2"/>
  <c r="N152" i="2"/>
  <c r="V11" i="2"/>
  <c r="N41" i="2"/>
  <c r="N38" i="2" s="1"/>
  <c r="U79" i="2"/>
  <c r="U78" i="2" s="1"/>
  <c r="U140" i="2"/>
  <c r="U139" i="2" s="1"/>
  <c r="U156" i="2"/>
  <c r="L177" i="2"/>
  <c r="L175" i="2" s="1"/>
  <c r="T63" i="2"/>
  <c r="T62" i="2" s="1"/>
  <c r="L116" i="2"/>
  <c r="L12" i="2"/>
  <c r="L26" i="2"/>
  <c r="H49" i="2"/>
  <c r="D96" i="2"/>
  <c r="D95" i="2" s="1"/>
  <c r="D93" i="2" s="1"/>
  <c r="T26" i="2"/>
  <c r="H35" i="2"/>
  <c r="I50" i="2"/>
  <c r="I48" i="2" s="1"/>
  <c r="G67" i="2"/>
  <c r="J71" i="2"/>
  <c r="J74" i="2"/>
  <c r="E79" i="2"/>
  <c r="E78" i="2" s="1"/>
  <c r="D91" i="2"/>
  <c r="M95" i="2"/>
  <c r="D26" i="2"/>
  <c r="V93" i="2"/>
  <c r="T133" i="2"/>
  <c r="D172" i="2"/>
  <c r="D171" i="2" s="1"/>
  <c r="G99" i="2"/>
  <c r="D115" i="2"/>
  <c r="D114" i="2" s="1"/>
  <c r="L121" i="2"/>
  <c r="T141" i="2"/>
  <c r="L172" i="2"/>
  <c r="L171" i="2" s="1"/>
  <c r="H135" i="2"/>
  <c r="N90" i="2"/>
  <c r="N87" i="2"/>
  <c r="V34" i="2"/>
  <c r="D36" i="2"/>
  <c r="H67" i="2"/>
  <c r="O54" i="2"/>
  <c r="H55" i="2"/>
  <c r="N16" i="2"/>
  <c r="L37" i="2"/>
  <c r="G41" i="2"/>
  <c r="G38" i="2" s="1"/>
  <c r="H47" i="2"/>
  <c r="V55" i="2"/>
  <c r="D82" i="2"/>
  <c r="D79" i="2" s="1"/>
  <c r="D89" i="2"/>
  <c r="D87" i="2" s="1"/>
  <c r="T102" i="2"/>
  <c r="T105" i="2"/>
  <c r="T128" i="2"/>
  <c r="C6" i="3"/>
  <c r="F78" i="2"/>
  <c r="H10" i="2"/>
  <c r="H97" i="2" l="1"/>
  <c r="B4" i="3"/>
  <c r="B16" i="3" s="1"/>
  <c r="B132" i="1"/>
  <c r="L78" i="2"/>
  <c r="T140" i="2"/>
  <c r="T139" i="2" s="1"/>
  <c r="T78" i="2"/>
  <c r="U151" i="2"/>
  <c r="V54" i="2"/>
  <c r="G97" i="2"/>
  <c r="G54" i="2"/>
  <c r="H34" i="2"/>
  <c r="H78" i="2"/>
  <c r="H132" i="2"/>
  <c r="H130" i="2" s="1"/>
  <c r="M97" i="2"/>
  <c r="V24" i="2"/>
  <c r="L34" i="2"/>
  <c r="J24" i="2"/>
  <c r="F4" i="3"/>
  <c r="F16" i="3" s="1"/>
  <c r="F132" i="1"/>
  <c r="D4" i="3"/>
  <c r="D16" i="3" s="1"/>
  <c r="D132" i="1"/>
  <c r="C8" i="3"/>
  <c r="C132" i="1"/>
  <c r="H25" i="2"/>
  <c r="T175" i="2"/>
  <c r="N10" i="2"/>
  <c r="D140" i="2"/>
  <c r="D139" i="2" s="1"/>
  <c r="T16" i="2"/>
  <c r="M10" i="2"/>
  <c r="U10" i="2"/>
  <c r="L107" i="2"/>
  <c r="T41" i="2"/>
  <c r="T38" i="2" s="1"/>
  <c r="L41" i="2"/>
  <c r="L38" i="2" s="1"/>
  <c r="T107" i="2"/>
  <c r="H54" i="2"/>
  <c r="D25" i="2"/>
  <c r="D90" i="2"/>
  <c r="D78" i="2" s="1"/>
  <c r="L25" i="2"/>
  <c r="L99" i="2"/>
  <c r="L54" i="2"/>
  <c r="H48" i="2"/>
  <c r="E8" i="2"/>
  <c r="B5" i="3" s="1"/>
  <c r="L122" i="2"/>
  <c r="L120" i="2" s="1"/>
  <c r="N97" i="2"/>
  <c r="T67" i="2"/>
  <c r="T54" i="2" s="1"/>
  <c r="L70" i="2"/>
  <c r="D54" i="2"/>
  <c r="G24" i="2"/>
  <c r="I8" i="2"/>
  <c r="O97" i="2"/>
  <c r="H151" i="2"/>
  <c r="H38" i="2"/>
  <c r="T25" i="2"/>
  <c r="T24" i="2" s="1"/>
  <c r="L11" i="2"/>
  <c r="L10" i="2" s="1"/>
  <c r="N151" i="2"/>
  <c r="D71" i="2"/>
  <c r="L140" i="2"/>
  <c r="L139" i="2" s="1"/>
  <c r="D132" i="2"/>
  <c r="D130" i="2" s="1"/>
  <c r="L132" i="2"/>
  <c r="L130" i="2" s="1"/>
  <c r="W97" i="2"/>
  <c r="W10" i="2"/>
  <c r="T11" i="2"/>
  <c r="V10" i="2"/>
  <c r="D122" i="2"/>
  <c r="D120" i="2" s="1"/>
  <c r="D107" i="2"/>
  <c r="D97" i="2" s="1"/>
  <c r="U24" i="2"/>
  <c r="N24" i="2"/>
  <c r="J70" i="2"/>
  <c r="D74" i="2"/>
  <c r="W24" i="2"/>
  <c r="O24" i="2"/>
  <c r="V151" i="2"/>
  <c r="T161" i="2"/>
  <c r="T151" i="2" s="1"/>
  <c r="G151" i="2"/>
  <c r="L151" i="2"/>
  <c r="D151" i="2"/>
  <c r="T132" i="2"/>
  <c r="T130" i="2" s="1"/>
  <c r="U70" i="2"/>
  <c r="F70" i="2"/>
  <c r="F8" i="2" s="1"/>
  <c r="D34" i="2"/>
  <c r="K54" i="2"/>
  <c r="K8" i="2" s="1"/>
  <c r="L95" i="2"/>
  <c r="L93" i="2" s="1"/>
  <c r="M93" i="2"/>
  <c r="L114" i="2"/>
  <c r="N78" i="2"/>
  <c r="T74" i="2"/>
  <c r="T71" i="2"/>
  <c r="T99" i="2"/>
  <c r="H24" i="2" l="1"/>
  <c r="L24" i="2"/>
  <c r="J8" i="2"/>
  <c r="H8" i="2" s="1"/>
  <c r="T10" i="2"/>
  <c r="O8" i="2"/>
  <c r="D13" i="3" s="1"/>
  <c r="D14" i="3" s="1"/>
  <c r="D70" i="2"/>
  <c r="V8" i="2"/>
  <c r="F9" i="3" s="1"/>
  <c r="F10" i="3" s="1"/>
  <c r="C10" i="3"/>
  <c r="C16" i="3"/>
  <c r="M8" i="2"/>
  <c r="D5" i="3" s="1"/>
  <c r="D6" i="3" s="1"/>
  <c r="L97" i="2"/>
  <c r="D24" i="2"/>
  <c r="G8" i="2"/>
  <c r="D8" i="2" s="1"/>
  <c r="W8" i="2"/>
  <c r="F13" i="3" s="1"/>
  <c r="F14" i="3" s="1"/>
  <c r="N8" i="2"/>
  <c r="C13" i="3"/>
  <c r="T70" i="2"/>
  <c r="B17" i="3"/>
  <c r="B18" i="3" s="1"/>
  <c r="B6" i="3"/>
  <c r="L8" i="2" l="1"/>
  <c r="D9" i="3"/>
  <c r="D10" i="3" s="1"/>
  <c r="D17" i="3"/>
  <c r="D18" i="3" s="1"/>
  <c r="C17" i="3"/>
  <c r="C18" i="3" s="1"/>
  <c r="C14" i="3"/>
  <c r="U115" i="2" l="1"/>
  <c r="U114" i="2" l="1"/>
  <c r="T115" i="2"/>
  <c r="T114" i="2" s="1"/>
  <c r="T97" i="2" s="1"/>
  <c r="U101" i="2" l="1"/>
  <c r="U99" i="2" l="1"/>
  <c r="T101" i="2"/>
  <c r="U110" i="2" l="1"/>
  <c r="T110" i="2" l="1"/>
  <c r="U107" i="2"/>
  <c r="U97" i="2" s="1"/>
  <c r="U126" i="2" l="1"/>
  <c r="T126" i="2" l="1"/>
  <c r="T122" i="2" s="1"/>
  <c r="T120" i="2" s="1"/>
  <c r="U122" i="2"/>
  <c r="U120" i="2" s="1"/>
  <c r="U8" i="2" s="1"/>
  <c r="T8" i="2" l="1"/>
  <c r="F5" i="3"/>
  <c r="F17" i="3" l="1"/>
  <c r="F18" i="3" s="1"/>
  <c r="F6" i="3"/>
  <c r="U178" i="2" l="1"/>
  <c r="T178" i="2" s="1"/>
  <c r="D146" i="6" l="1"/>
  <c r="D129" i="6"/>
  <c r="D110" i="6"/>
  <c r="D55" i="6"/>
  <c r="D62" i="6" l="1"/>
  <c r="D54" i="6"/>
  <c r="D150" i="6" l="1"/>
  <c r="D149" i="6"/>
  <c r="D148" i="6"/>
  <c r="D147" i="6"/>
  <c r="D144" i="6"/>
  <c r="D137" i="6"/>
  <c r="F133" i="6"/>
  <c r="F131" i="6" s="1"/>
  <c r="G133" i="6"/>
  <c r="G131" i="6" s="1"/>
  <c r="D135" i="6"/>
  <c r="D128" i="6"/>
  <c r="D127" i="6"/>
  <c r="D126" i="6"/>
  <c r="D125" i="6"/>
  <c r="D124" i="6"/>
  <c r="D118" i="6"/>
  <c r="D116" i="6"/>
  <c r="D112" i="6"/>
  <c r="D111" i="6"/>
  <c r="D109" i="6"/>
  <c r="D108" i="6"/>
  <c r="D84" i="6"/>
  <c r="D82" i="6"/>
  <c r="D59" i="6"/>
  <c r="D57" i="6"/>
  <c r="E141" i="6" l="1"/>
  <c r="E140" i="6" s="1"/>
  <c r="D142" i="6"/>
  <c r="D141" i="6" s="1"/>
  <c r="D140" i="6" s="1"/>
  <c r="D136" i="6"/>
  <c r="D134" i="6"/>
  <c r="E133" i="6"/>
  <c r="E131" i="6" s="1"/>
  <c r="E122" i="6"/>
  <c r="E120" i="6" s="1"/>
  <c r="D123" i="6"/>
  <c r="D122" i="6" s="1"/>
  <c r="D121" i="6"/>
  <c r="E106" i="6"/>
  <c r="E95" i="6" s="1"/>
  <c r="D96" i="6"/>
  <c r="D81" i="6"/>
  <c r="D77" i="6" s="1"/>
  <c r="D76" i="6" s="1"/>
  <c r="E77" i="6"/>
  <c r="E76" i="6" s="1"/>
  <c r="E69" i="6"/>
  <c r="E68" i="6" s="1"/>
  <c r="D71" i="6"/>
  <c r="D69" i="6" s="1"/>
  <c r="D68" i="6" s="1"/>
  <c r="D63" i="6"/>
  <c r="D60" i="6" s="1"/>
  <c r="E60" i="6"/>
  <c r="D56" i="6"/>
  <c r="D53" i="6" s="1"/>
  <c r="E53" i="6"/>
  <c r="E52" i="6" l="1"/>
  <c r="D178" i="6"/>
  <c r="D133" i="6"/>
  <c r="D131" i="6" s="1"/>
  <c r="D120" i="6"/>
  <c r="F106" i="6"/>
  <c r="F95" i="6" s="1"/>
  <c r="D107" i="6"/>
  <c r="D106" i="6" s="1"/>
  <c r="D95" i="6" s="1"/>
  <c r="D52" i="6"/>
  <c r="D182" i="6" l="1"/>
  <c r="G179" i="6"/>
  <c r="D180" i="6" l="1"/>
  <c r="D179" i="6" s="1"/>
  <c r="E179" i="6"/>
  <c r="E9" i="6" l="1"/>
  <c r="E8" i="6" s="1"/>
  <c r="D10" i="6"/>
  <c r="D9" i="6" s="1"/>
  <c r="D8" i="6" s="1"/>
  <c r="J177" i="6" l="1"/>
  <c r="M177" i="6"/>
  <c r="N177" i="6"/>
  <c r="O177" i="6"/>
  <c r="Q177" i="6"/>
  <c r="R177" i="6"/>
  <c r="S177" i="6"/>
  <c r="U177" i="6"/>
  <c r="V177" i="6"/>
  <c r="W177" i="6"/>
  <c r="L177" i="6" l="1"/>
  <c r="P177" i="6"/>
  <c r="K177" i="6"/>
  <c r="T177" i="6"/>
  <c r="W175" i="6" l="1"/>
  <c r="V175" i="6"/>
  <c r="W172" i="6"/>
  <c r="V172" i="6"/>
  <c r="U172" i="6"/>
  <c r="W171" i="6"/>
  <c r="V171" i="6"/>
  <c r="W170" i="6"/>
  <c r="W169" i="6"/>
  <c r="V169" i="6"/>
  <c r="W168" i="6"/>
  <c r="V168" i="6"/>
  <c r="W166" i="6"/>
  <c r="V166" i="6"/>
  <c r="W165" i="6"/>
  <c r="V165" i="6"/>
  <c r="W164" i="6"/>
  <c r="V164" i="6"/>
  <c r="U164" i="6"/>
  <c r="W163" i="6"/>
  <c r="V163" i="6"/>
  <c r="W161" i="6"/>
  <c r="V161" i="6"/>
  <c r="W160" i="6"/>
  <c r="V160" i="6"/>
  <c r="U160" i="6"/>
  <c r="W159" i="6"/>
  <c r="V159" i="6"/>
  <c r="W156" i="6"/>
  <c r="V156" i="6"/>
  <c r="J175" i="6"/>
  <c r="K175" i="6"/>
  <c r="I172" i="6"/>
  <c r="J172" i="6"/>
  <c r="K172" i="6"/>
  <c r="J171" i="6"/>
  <c r="K171" i="6"/>
  <c r="J170" i="6"/>
  <c r="K170" i="6"/>
  <c r="J169" i="6"/>
  <c r="K169" i="6"/>
  <c r="J168" i="6"/>
  <c r="K168" i="6"/>
  <c r="J166" i="6"/>
  <c r="K166" i="6"/>
  <c r="J165" i="6"/>
  <c r="K165" i="6"/>
  <c r="I164" i="6"/>
  <c r="J164" i="6"/>
  <c r="K164" i="6"/>
  <c r="J163" i="6"/>
  <c r="K163" i="6"/>
  <c r="J161" i="6"/>
  <c r="K161" i="6"/>
  <c r="I160" i="6"/>
  <c r="J160" i="6"/>
  <c r="K160" i="6"/>
  <c r="J159" i="6"/>
  <c r="K159" i="6"/>
  <c r="J158" i="6"/>
  <c r="K158" i="6"/>
  <c r="J156" i="6"/>
  <c r="K156" i="6"/>
  <c r="J154" i="6"/>
  <c r="K154" i="6"/>
  <c r="W167" i="6" l="1"/>
  <c r="T172" i="6"/>
  <c r="T160" i="6"/>
  <c r="K153" i="6"/>
  <c r="K157" i="6"/>
  <c r="K162" i="6"/>
  <c r="K167" i="6"/>
  <c r="H160" i="6"/>
  <c r="H164" i="6"/>
  <c r="I174" i="6"/>
  <c r="W174" i="6"/>
  <c r="W173" i="6" s="1"/>
  <c r="V174" i="6"/>
  <c r="V173" i="6" s="1"/>
  <c r="V154" i="6"/>
  <c r="V153" i="6" s="1"/>
  <c r="V170" i="6"/>
  <c r="V167" i="6" s="1"/>
  <c r="W154" i="6"/>
  <c r="W153" i="6" s="1"/>
  <c r="J176" i="6"/>
  <c r="J153" i="6"/>
  <c r="J174" i="6"/>
  <c r="J173" i="6" s="1"/>
  <c r="J157" i="6"/>
  <c r="J162" i="6"/>
  <c r="J167" i="6"/>
  <c r="V176" i="6"/>
  <c r="H172" i="6"/>
  <c r="W176" i="6"/>
  <c r="V162" i="6"/>
  <c r="W158" i="6"/>
  <c r="W157" i="6" s="1"/>
  <c r="W162" i="6"/>
  <c r="K174" i="6"/>
  <c r="K173" i="6" s="1"/>
  <c r="K176" i="6"/>
  <c r="T164" i="6"/>
  <c r="U174" i="6"/>
  <c r="K152" i="6" l="1"/>
  <c r="H174" i="6"/>
  <c r="H173" i="6" s="1"/>
  <c r="I173" i="6"/>
  <c r="J152" i="6"/>
  <c r="T174" i="6"/>
  <c r="T173" i="6" s="1"/>
  <c r="U173" i="6"/>
  <c r="W152" i="6"/>
  <c r="S175" i="6" l="1"/>
  <c r="R175" i="6"/>
  <c r="Q175" i="6"/>
  <c r="S172" i="6"/>
  <c r="R172" i="6"/>
  <c r="Q172" i="6"/>
  <c r="S171" i="6"/>
  <c r="R171" i="6"/>
  <c r="S170" i="6"/>
  <c r="R170" i="6"/>
  <c r="S169" i="6"/>
  <c r="R169" i="6"/>
  <c r="S168" i="6"/>
  <c r="R168" i="6"/>
  <c r="S166" i="6"/>
  <c r="R166" i="6"/>
  <c r="S165" i="6"/>
  <c r="R165" i="6"/>
  <c r="S164" i="6"/>
  <c r="Q164" i="6"/>
  <c r="S163" i="6"/>
  <c r="R163" i="6"/>
  <c r="S161" i="6"/>
  <c r="R161" i="6"/>
  <c r="S160" i="6"/>
  <c r="R160" i="6"/>
  <c r="Q160" i="6"/>
  <c r="S159" i="6"/>
  <c r="R159" i="6"/>
  <c r="S158" i="6"/>
  <c r="R158" i="6"/>
  <c r="S156" i="6"/>
  <c r="R156" i="6"/>
  <c r="M176" i="6"/>
  <c r="O175" i="6"/>
  <c r="N175" i="6"/>
  <c r="M175" i="6"/>
  <c r="O174" i="6"/>
  <c r="O173" i="6" s="1"/>
  <c r="O172" i="6"/>
  <c r="N172" i="6"/>
  <c r="M172" i="6"/>
  <c r="O171" i="6"/>
  <c r="N171" i="6"/>
  <c r="M171" i="6"/>
  <c r="O170" i="6"/>
  <c r="N170" i="6"/>
  <c r="M170" i="6"/>
  <c r="O169" i="6"/>
  <c r="N169" i="6"/>
  <c r="M169" i="6"/>
  <c r="N168" i="6"/>
  <c r="M168" i="6"/>
  <c r="O166" i="6"/>
  <c r="N166" i="6"/>
  <c r="M166" i="6"/>
  <c r="O165" i="6"/>
  <c r="N165" i="6"/>
  <c r="O164" i="6"/>
  <c r="N164" i="6"/>
  <c r="M164" i="6"/>
  <c r="O163" i="6"/>
  <c r="N163" i="6"/>
  <c r="M163" i="6"/>
  <c r="O161" i="6"/>
  <c r="N161" i="6"/>
  <c r="M161" i="6"/>
  <c r="O160" i="6"/>
  <c r="N160" i="6"/>
  <c r="M160" i="6"/>
  <c r="O159" i="6"/>
  <c r="N159" i="6"/>
  <c r="M159" i="6"/>
  <c r="O158" i="6"/>
  <c r="N158" i="6"/>
  <c r="M158" i="6"/>
  <c r="O156" i="6"/>
  <c r="N156" i="6"/>
  <c r="O154" i="6"/>
  <c r="N154" i="6"/>
  <c r="M154" i="6"/>
  <c r="L172" i="6" l="1"/>
  <c r="P175" i="6"/>
  <c r="P172" i="6"/>
  <c r="P160" i="6"/>
  <c r="L160" i="6"/>
  <c r="N167" i="6"/>
  <c r="O157" i="6"/>
  <c r="L159" i="6"/>
  <c r="L175" i="6"/>
  <c r="N176" i="6"/>
  <c r="R164" i="6"/>
  <c r="R162" i="6" s="1"/>
  <c r="R174" i="6"/>
  <c r="R173" i="6" s="1"/>
  <c r="L158" i="6"/>
  <c r="M157" i="6"/>
  <c r="L163" i="6"/>
  <c r="M167" i="6"/>
  <c r="O176" i="6"/>
  <c r="S174" i="6"/>
  <c r="S173" i="6" s="1"/>
  <c r="Q174" i="6"/>
  <c r="N157" i="6"/>
  <c r="N162" i="6"/>
  <c r="O168" i="6"/>
  <c r="O167" i="6" s="1"/>
  <c r="R154" i="6"/>
  <c r="R153" i="6" s="1"/>
  <c r="L164" i="6"/>
  <c r="L169" i="6"/>
  <c r="S154" i="6"/>
  <c r="S153" i="6" s="1"/>
  <c r="M174" i="6"/>
  <c r="O162" i="6"/>
  <c r="N174" i="6"/>
  <c r="N173" i="6" s="1"/>
  <c r="R176" i="6"/>
  <c r="L154" i="6"/>
  <c r="L170" i="6"/>
  <c r="S176" i="6"/>
  <c r="N153" i="6"/>
  <c r="O153" i="6"/>
  <c r="R157" i="6"/>
  <c r="R167" i="6"/>
  <c r="M156" i="6"/>
  <c r="L156" i="6" s="1"/>
  <c r="L161" i="6"/>
  <c r="L166" i="6"/>
  <c r="L171" i="6"/>
  <c r="S157" i="6"/>
  <c r="S162" i="6"/>
  <c r="S167" i="6"/>
  <c r="L157" i="6" l="1"/>
  <c r="L176" i="6"/>
  <c r="P164" i="6"/>
  <c r="N152" i="6"/>
  <c r="O152" i="6"/>
  <c r="O6" i="6" s="1"/>
  <c r="F13" i="7" s="1"/>
  <c r="F14" i="7" s="1"/>
  <c r="Q173" i="6"/>
  <c r="P174" i="6"/>
  <c r="P173" i="6" s="1"/>
  <c r="M173" i="6"/>
  <c r="L174" i="6"/>
  <c r="L173" i="6" s="1"/>
  <c r="R152" i="6"/>
  <c r="S152" i="6"/>
  <c r="L168" i="6"/>
  <c r="L167" i="6" s="1"/>
  <c r="L153" i="6"/>
  <c r="M153" i="6"/>
  <c r="F33" i="7" l="1"/>
  <c r="E176" i="6" l="1"/>
  <c r="F176" i="6"/>
  <c r="G176" i="6"/>
  <c r="E175" i="6"/>
  <c r="F175" i="6"/>
  <c r="G175" i="6"/>
  <c r="E174" i="6"/>
  <c r="E172" i="6"/>
  <c r="F172" i="6"/>
  <c r="G172" i="6"/>
  <c r="E171" i="6"/>
  <c r="F171" i="6"/>
  <c r="G171" i="6"/>
  <c r="E170" i="6"/>
  <c r="F170" i="6"/>
  <c r="G170" i="6"/>
  <c r="E169" i="6"/>
  <c r="F169" i="6"/>
  <c r="G169" i="6"/>
  <c r="E168" i="6"/>
  <c r="F168" i="6"/>
  <c r="G168" i="6"/>
  <c r="E166" i="6"/>
  <c r="F166" i="6"/>
  <c r="G166" i="6"/>
  <c r="E165" i="6"/>
  <c r="F165" i="6"/>
  <c r="G165" i="6"/>
  <c r="E164" i="6"/>
  <c r="F164" i="6"/>
  <c r="G164" i="6"/>
  <c r="E163" i="6"/>
  <c r="F163" i="6"/>
  <c r="G163" i="6"/>
  <c r="E161" i="6"/>
  <c r="F161" i="6"/>
  <c r="G161" i="6"/>
  <c r="E160" i="6"/>
  <c r="F160" i="6"/>
  <c r="G160" i="6"/>
  <c r="E159" i="6"/>
  <c r="F159" i="6"/>
  <c r="G159" i="6"/>
  <c r="E158" i="6"/>
  <c r="F158" i="6"/>
  <c r="G158" i="6"/>
  <c r="E156" i="6"/>
  <c r="F156" i="6"/>
  <c r="G156" i="6"/>
  <c r="E154" i="6"/>
  <c r="F154" i="6"/>
  <c r="F153" i="6" l="1"/>
  <c r="D156" i="6"/>
  <c r="D165" i="6"/>
  <c r="D170" i="6"/>
  <c r="D160" i="6"/>
  <c r="D159" i="6"/>
  <c r="D164" i="6"/>
  <c r="D169" i="6"/>
  <c r="E173" i="6"/>
  <c r="G154" i="6"/>
  <c r="G153" i="6" s="1"/>
  <c r="D175" i="6"/>
  <c r="E153" i="6"/>
  <c r="D161" i="6"/>
  <c r="D166" i="6"/>
  <c r="D171" i="6"/>
  <c r="D176" i="6"/>
  <c r="G157" i="6"/>
  <c r="G162" i="6"/>
  <c r="G167" i="6"/>
  <c r="F157" i="6"/>
  <c r="F162" i="6"/>
  <c r="F167" i="6"/>
  <c r="F174" i="6"/>
  <c r="F173" i="6" s="1"/>
  <c r="E157" i="6"/>
  <c r="D158" i="6"/>
  <c r="D163" i="6"/>
  <c r="E162" i="6"/>
  <c r="D168" i="6"/>
  <c r="E167" i="6"/>
  <c r="D172" i="6"/>
  <c r="G174" i="6"/>
  <c r="G173" i="6" s="1"/>
  <c r="D154" i="6" l="1"/>
  <c r="D153" i="6" s="1"/>
  <c r="E152" i="6"/>
  <c r="E6" i="6" s="1"/>
  <c r="D5" i="7" s="1"/>
  <c r="D31" i="7" s="1"/>
  <c r="F152" i="6"/>
  <c r="F6" i="6" s="1"/>
  <c r="D9" i="7" s="1"/>
  <c r="D10" i="7" s="1"/>
  <c r="D167" i="6"/>
  <c r="D157" i="6"/>
  <c r="G152" i="6"/>
  <c r="G6" i="6" s="1"/>
  <c r="D13" i="7" s="1"/>
  <c r="D174" i="6"/>
  <c r="D173" i="6" s="1"/>
  <c r="D162" i="6"/>
  <c r="D6" i="7" l="1"/>
  <c r="D152" i="6"/>
  <c r="D6" i="6" s="1"/>
  <c r="D22" i="7"/>
  <c r="D23" i="7" s="1"/>
  <c r="D32" i="7"/>
  <c r="D33" i="7"/>
  <c r="D14" i="7"/>
  <c r="D17" i="7"/>
  <c r="D18" i="7" s="1"/>
  <c r="D37" i="7" l="1"/>
  <c r="D38" i="7" s="1"/>
  <c r="N136" i="6" l="1"/>
  <c r="N133" i="6" l="1"/>
  <c r="N131" i="6" s="1"/>
  <c r="L136" i="6"/>
  <c r="L133" i="6" s="1"/>
  <c r="L131" i="6" s="1"/>
  <c r="M55" i="6" l="1"/>
  <c r="M53" i="6" l="1"/>
  <c r="M52" i="6" s="1"/>
  <c r="L55" i="6"/>
  <c r="L53" i="6" s="1"/>
  <c r="L52" i="6" s="1"/>
  <c r="N84" i="6" l="1"/>
  <c r="N77" i="6" l="1"/>
  <c r="N76" i="6" s="1"/>
  <c r="L84" i="6"/>
  <c r="I177" i="6" l="1"/>
  <c r="H177" i="6" s="1"/>
  <c r="I182" i="6" l="1"/>
  <c r="H182" i="6" s="1"/>
  <c r="I180" i="6"/>
  <c r="I178" i="6"/>
  <c r="J178" i="6"/>
  <c r="K178" i="6"/>
  <c r="K6" i="6" s="1"/>
  <c r="E13" i="7" s="1"/>
  <c r="I176" i="6"/>
  <c r="H176" i="6" s="1"/>
  <c r="I175" i="6"/>
  <c r="H175" i="6" s="1"/>
  <c r="I171" i="6"/>
  <c r="H171" i="6" s="1"/>
  <c r="I170" i="6"/>
  <c r="H170" i="6" s="1"/>
  <c r="I169" i="6"/>
  <c r="H169" i="6" s="1"/>
  <c r="I168" i="6"/>
  <c r="I166" i="6"/>
  <c r="H166" i="6" s="1"/>
  <c r="I165" i="6"/>
  <c r="H165" i="6" s="1"/>
  <c r="I163" i="6"/>
  <c r="I161" i="6"/>
  <c r="H161" i="6" s="1"/>
  <c r="I159" i="6"/>
  <c r="H159" i="6" s="1"/>
  <c r="I158" i="6"/>
  <c r="I156" i="6"/>
  <c r="H156" i="6" s="1"/>
  <c r="I154" i="6"/>
  <c r="I150" i="6"/>
  <c r="H150" i="6" s="1"/>
  <c r="I149" i="6"/>
  <c r="H149" i="6" s="1"/>
  <c r="I147" i="6"/>
  <c r="H147" i="6" s="1"/>
  <c r="I142" i="6"/>
  <c r="J142" i="6"/>
  <c r="J141" i="6" s="1"/>
  <c r="J140" i="6" s="1"/>
  <c r="I137" i="6"/>
  <c r="H137" i="6" s="1"/>
  <c r="I136" i="6"/>
  <c r="H136" i="6" s="1"/>
  <c r="I135" i="6"/>
  <c r="H135" i="6" s="1"/>
  <c r="I134" i="6"/>
  <c r="I132" i="6"/>
  <c r="I129" i="6"/>
  <c r="H129" i="6" s="1"/>
  <c r="I128" i="6"/>
  <c r="H128" i="6" s="1"/>
  <c r="I127" i="6"/>
  <c r="H127" i="6" s="1"/>
  <c r="I126" i="6"/>
  <c r="H126" i="6" s="1"/>
  <c r="I125" i="6"/>
  <c r="H125" i="6" s="1"/>
  <c r="I124" i="6"/>
  <c r="H124" i="6" s="1"/>
  <c r="I123" i="6"/>
  <c r="I116" i="6"/>
  <c r="H116" i="6" s="1"/>
  <c r="I112" i="6"/>
  <c r="H112" i="6" s="1"/>
  <c r="I111" i="6"/>
  <c r="J111" i="6"/>
  <c r="J106" i="6" s="1"/>
  <c r="J95" i="6" s="1"/>
  <c r="I110" i="6"/>
  <c r="H110" i="6" s="1"/>
  <c r="I109" i="6"/>
  <c r="H109" i="6" s="1"/>
  <c r="I108" i="6"/>
  <c r="H108" i="6" s="1"/>
  <c r="I107" i="6"/>
  <c r="I96" i="6"/>
  <c r="J84" i="6"/>
  <c r="H84" i="6" s="1"/>
  <c r="I83" i="6"/>
  <c r="H83" i="6" s="1"/>
  <c r="I82" i="6"/>
  <c r="J79" i="6"/>
  <c r="I75" i="6"/>
  <c r="H75" i="6" s="1"/>
  <c r="I71" i="6"/>
  <c r="H71" i="6" s="1"/>
  <c r="I70" i="6"/>
  <c r="I67" i="6"/>
  <c r="I63" i="6"/>
  <c r="H63" i="6" s="1"/>
  <c r="I62" i="6"/>
  <c r="I59" i="6"/>
  <c r="H59" i="6" s="1"/>
  <c r="I58" i="6"/>
  <c r="H58" i="6" s="1"/>
  <c r="I57" i="6"/>
  <c r="H57" i="6" s="1"/>
  <c r="I56" i="6"/>
  <c r="H56" i="6" s="1"/>
  <c r="I55" i="6"/>
  <c r="H55" i="6" s="1"/>
  <c r="I54" i="6"/>
  <c r="I49" i="6"/>
  <c r="I47" i="6"/>
  <c r="I44" i="6"/>
  <c r="H44" i="6" s="1"/>
  <c r="I42" i="6"/>
  <c r="H42" i="6" s="1"/>
  <c r="I41" i="6"/>
  <c r="H41" i="6" s="1"/>
  <c r="I40" i="6"/>
  <c r="I38" i="6"/>
  <c r="H38" i="6" s="1"/>
  <c r="I37" i="6"/>
  <c r="I35" i="6"/>
  <c r="H35" i="6" s="1"/>
  <c r="I33" i="6"/>
  <c r="I26" i="6"/>
  <c r="H26" i="6" s="1"/>
  <c r="I25" i="6"/>
  <c r="I18" i="6"/>
  <c r="H18" i="6" s="1"/>
  <c r="I15" i="6"/>
  <c r="I12" i="6"/>
  <c r="H12" i="6" s="1"/>
  <c r="I11" i="6"/>
  <c r="H11" i="6" s="1"/>
  <c r="I10" i="6"/>
  <c r="H111" i="6" l="1"/>
  <c r="I179" i="6"/>
  <c r="H180" i="6"/>
  <c r="H179" i="6" s="1"/>
  <c r="H178" i="6"/>
  <c r="E33" i="7"/>
  <c r="E14" i="7"/>
  <c r="I167" i="6"/>
  <c r="H168" i="6"/>
  <c r="H167" i="6" s="1"/>
  <c r="H163" i="6"/>
  <c r="H162" i="6" s="1"/>
  <c r="I162" i="6"/>
  <c r="I157" i="6"/>
  <c r="H158" i="6"/>
  <c r="H157" i="6" s="1"/>
  <c r="I153" i="6"/>
  <c r="H154" i="6"/>
  <c r="H153" i="6" s="1"/>
  <c r="H142" i="6"/>
  <c r="H141" i="6" s="1"/>
  <c r="H140" i="6" s="1"/>
  <c r="I141" i="6"/>
  <c r="I140" i="6" s="1"/>
  <c r="H134" i="6"/>
  <c r="H133" i="6" s="1"/>
  <c r="I133" i="6"/>
  <c r="I131" i="6" s="1"/>
  <c r="H132" i="6"/>
  <c r="H123" i="6"/>
  <c r="H122" i="6" s="1"/>
  <c r="H120" i="6" s="1"/>
  <c r="I122" i="6"/>
  <c r="I120" i="6" s="1"/>
  <c r="H107" i="6"/>
  <c r="H106" i="6" s="1"/>
  <c r="I106" i="6"/>
  <c r="I95" i="6" s="1"/>
  <c r="H96" i="6"/>
  <c r="H82" i="6"/>
  <c r="I77" i="6"/>
  <c r="I76" i="6" s="1"/>
  <c r="J77" i="6"/>
  <c r="J76" i="6" s="1"/>
  <c r="J6" i="6" s="1"/>
  <c r="E9" i="7" s="1"/>
  <c r="H79" i="6"/>
  <c r="H77" i="6" s="1"/>
  <c r="H76" i="6" s="1"/>
  <c r="I69" i="6"/>
  <c r="I68" i="6" s="1"/>
  <c r="H70" i="6"/>
  <c r="H69" i="6" s="1"/>
  <c r="H68" i="6" s="1"/>
  <c r="H67" i="6"/>
  <c r="H65" i="6" s="1"/>
  <c r="I65" i="6"/>
  <c r="H62" i="6"/>
  <c r="H60" i="6" s="1"/>
  <c r="I60" i="6"/>
  <c r="H54" i="6"/>
  <c r="H53" i="6" s="1"/>
  <c r="I53" i="6"/>
  <c r="H49" i="6"/>
  <c r="H48" i="6" s="1"/>
  <c r="I48" i="6"/>
  <c r="I46" i="6" s="1"/>
  <c r="H47" i="6"/>
  <c r="H40" i="6"/>
  <c r="H39" i="6" s="1"/>
  <c r="I39" i="6"/>
  <c r="I36" i="6" s="1"/>
  <c r="H37" i="6"/>
  <c r="H33" i="6"/>
  <c r="H32" i="6" s="1"/>
  <c r="I32" i="6"/>
  <c r="H25" i="6"/>
  <c r="H23" i="6" s="1"/>
  <c r="I23" i="6"/>
  <c r="H15" i="6"/>
  <c r="H14" i="6" s="1"/>
  <c r="I14" i="6"/>
  <c r="H10" i="6"/>
  <c r="H9" i="6" s="1"/>
  <c r="I9" i="6"/>
  <c r="I8" i="6" l="1"/>
  <c r="I22" i="6"/>
  <c r="H52" i="6"/>
  <c r="I52" i="6"/>
  <c r="H152" i="6"/>
  <c r="I152" i="6"/>
  <c r="H131" i="6"/>
  <c r="H95" i="6"/>
  <c r="E32" i="7"/>
  <c r="E10" i="7"/>
  <c r="H46" i="6"/>
  <c r="H36" i="6"/>
  <c r="H22" i="6"/>
  <c r="H8" i="6"/>
  <c r="I6" i="6" l="1"/>
  <c r="E5" i="7" s="1"/>
  <c r="E22" i="7" s="1"/>
  <c r="E23" i="7" s="1"/>
  <c r="H6" i="6"/>
  <c r="E31" i="7" l="1"/>
  <c r="E37" i="7" s="1"/>
  <c r="E38" i="7" s="1"/>
  <c r="E6" i="7"/>
  <c r="E17" i="7"/>
  <c r="E18" i="7" s="1"/>
  <c r="W182" i="6"/>
  <c r="W179" i="6" s="1"/>
  <c r="W6" i="6" s="1"/>
  <c r="U182" i="6"/>
  <c r="U178" i="6"/>
  <c r="T178" i="6" s="1"/>
  <c r="U171" i="6"/>
  <c r="T171" i="6" s="1"/>
  <c r="U170" i="6"/>
  <c r="T170" i="6" s="1"/>
  <c r="U169" i="6"/>
  <c r="T169" i="6" s="1"/>
  <c r="U168" i="6"/>
  <c r="U166" i="6"/>
  <c r="T166" i="6" s="1"/>
  <c r="U165" i="6"/>
  <c r="U163" i="6"/>
  <c r="T163" i="6" s="1"/>
  <c r="U161" i="6"/>
  <c r="U159" i="6"/>
  <c r="T159" i="6" s="1"/>
  <c r="U158" i="6"/>
  <c r="U156" i="6"/>
  <c r="U154" i="6"/>
  <c r="T154" i="6" s="1"/>
  <c r="U150" i="6"/>
  <c r="T150" i="6" s="1"/>
  <c r="U149" i="6"/>
  <c r="T149" i="6" s="1"/>
  <c r="V147" i="6"/>
  <c r="U143" i="6"/>
  <c r="T143" i="6" s="1"/>
  <c r="U142" i="6"/>
  <c r="U139" i="6"/>
  <c r="T139" i="6" s="1"/>
  <c r="V118" i="6"/>
  <c r="V87" i="6"/>
  <c r="U83" i="6"/>
  <c r="T83" i="6" s="1"/>
  <c r="U81" i="6"/>
  <c r="U80" i="6"/>
  <c r="T80" i="6" s="1"/>
  <c r="U62" i="6"/>
  <c r="U57" i="6"/>
  <c r="T57" i="6" s="1"/>
  <c r="U56" i="6"/>
  <c r="T56" i="6" s="1"/>
  <c r="U55" i="6"/>
  <c r="T55" i="6" s="1"/>
  <c r="U54" i="6"/>
  <c r="Q54" i="6"/>
  <c r="Q55" i="6"/>
  <c r="P55" i="6" s="1"/>
  <c r="Q56" i="6"/>
  <c r="P56" i="6" s="1"/>
  <c r="Q57" i="6"/>
  <c r="P57" i="6" s="1"/>
  <c r="U50" i="6"/>
  <c r="U43" i="6"/>
  <c r="T43" i="6" s="1"/>
  <c r="U40" i="6"/>
  <c r="U38" i="6"/>
  <c r="T38" i="6" s="1"/>
  <c r="U37" i="6"/>
  <c r="U35" i="6"/>
  <c r="T35" i="6" s="1"/>
  <c r="U26" i="6"/>
  <c r="T26" i="6" s="1"/>
  <c r="U25" i="6"/>
  <c r="U20" i="6"/>
  <c r="U12" i="6"/>
  <c r="T182" i="6" l="1"/>
  <c r="H13" i="7"/>
  <c r="H14" i="7" s="1"/>
  <c r="U94" i="6"/>
  <c r="T81" i="6"/>
  <c r="T77" i="6" s="1"/>
  <c r="U77" i="6"/>
  <c r="U76" i="6" s="1"/>
  <c r="U60" i="6"/>
  <c r="T62" i="6"/>
  <c r="T60" i="6" s="1"/>
  <c r="U53" i="6"/>
  <c r="T54" i="6"/>
  <c r="T53" i="6" s="1"/>
  <c r="Q53" i="6"/>
  <c r="Q52" i="6" s="1"/>
  <c r="P54" i="6"/>
  <c r="P53" i="6" s="1"/>
  <c r="P52" i="6" s="1"/>
  <c r="U48" i="6"/>
  <c r="U46" i="6" s="1"/>
  <c r="T50" i="6"/>
  <c r="T48" i="6" s="1"/>
  <c r="T46" i="6" s="1"/>
  <c r="T40" i="6"/>
  <c r="T37" i="6"/>
  <c r="T25" i="6"/>
  <c r="T23" i="6" s="1"/>
  <c r="T22" i="6" s="1"/>
  <c r="U23" i="6"/>
  <c r="U22" i="6" s="1"/>
  <c r="T12" i="6"/>
  <c r="T9" i="6" s="1"/>
  <c r="U9" i="6"/>
  <c r="U15" i="6"/>
  <c r="T20" i="6"/>
  <c r="T147" i="6"/>
  <c r="V140" i="6"/>
  <c r="V95" i="6"/>
  <c r="V85" i="6"/>
  <c r="T87" i="6"/>
  <c r="T85" i="6" s="1"/>
  <c r="V70" i="6"/>
  <c r="T156" i="6"/>
  <c r="T153" i="6" s="1"/>
  <c r="U153" i="6"/>
  <c r="T168" i="6"/>
  <c r="T167" i="6" s="1"/>
  <c r="U167" i="6"/>
  <c r="T161" i="6"/>
  <c r="U157" i="6"/>
  <c r="U162" i="6"/>
  <c r="T165" i="6"/>
  <c r="T162" i="6" s="1"/>
  <c r="T142" i="6"/>
  <c r="T141" i="6" s="1"/>
  <c r="U141" i="6"/>
  <c r="U140" i="6" s="1"/>
  <c r="T140" i="6" l="1"/>
  <c r="U52" i="6"/>
  <c r="T94" i="6"/>
  <c r="T93" i="6" s="1"/>
  <c r="T91" i="6" s="1"/>
  <c r="U93" i="6"/>
  <c r="U91" i="6" s="1"/>
  <c r="T52" i="6"/>
  <c r="U14" i="6"/>
  <c r="U8" i="6" s="1"/>
  <c r="T15" i="6"/>
  <c r="V69" i="6"/>
  <c r="V68" i="6" s="1"/>
  <c r="T70" i="6"/>
  <c r="S182" i="6" l="1"/>
  <c r="S179" i="6" s="1"/>
  <c r="S6" i="6" s="1"/>
  <c r="G13" i="7" s="1"/>
  <c r="Q182" i="6"/>
  <c r="R180" i="6"/>
  <c r="R179" i="6" s="1"/>
  <c r="Q178" i="6"/>
  <c r="P178" i="6" s="1"/>
  <c r="Q176" i="6"/>
  <c r="P176" i="6" s="1"/>
  <c r="Q171" i="6"/>
  <c r="P171" i="6" s="1"/>
  <c r="Q170" i="6"/>
  <c r="Q169" i="6"/>
  <c r="P169" i="6" s="1"/>
  <c r="Q168" i="6"/>
  <c r="P168" i="6" s="1"/>
  <c r="Q166" i="6"/>
  <c r="P166" i="6" s="1"/>
  <c r="Q165" i="6"/>
  <c r="Q163" i="6"/>
  <c r="P163" i="6" s="1"/>
  <c r="Q161" i="6"/>
  <c r="Q159" i="6"/>
  <c r="P159" i="6" s="1"/>
  <c r="Q158" i="6"/>
  <c r="P158" i="6" s="1"/>
  <c r="Q156" i="6"/>
  <c r="Q154" i="6"/>
  <c r="P154" i="6" s="1"/>
  <c r="M165" i="6"/>
  <c r="Q150" i="6"/>
  <c r="P150" i="6" s="1"/>
  <c r="Q149" i="6"/>
  <c r="P149" i="6" s="1"/>
  <c r="R147" i="6"/>
  <c r="Q147" i="6"/>
  <c r="Q143" i="6"/>
  <c r="P143" i="6" s="1"/>
  <c r="Q142" i="6"/>
  <c r="M150" i="6"/>
  <c r="N147" i="6"/>
  <c r="Q139" i="6"/>
  <c r="P139" i="6" s="1"/>
  <c r="Q138" i="6"/>
  <c r="P138" i="6" s="1"/>
  <c r="Q137" i="6"/>
  <c r="P137" i="6" s="1"/>
  <c r="R136" i="6"/>
  <c r="R133" i="6" s="1"/>
  <c r="R131" i="6" s="1"/>
  <c r="Q136" i="6"/>
  <c r="Q135" i="6"/>
  <c r="P135" i="6" s="1"/>
  <c r="Q134" i="6"/>
  <c r="P134" i="6" s="1"/>
  <c r="Q132" i="6"/>
  <c r="P132" i="6" s="1"/>
  <c r="Q130" i="6"/>
  <c r="P130" i="6" s="1"/>
  <c r="Q129" i="6"/>
  <c r="P129" i="6" s="1"/>
  <c r="Q126" i="6"/>
  <c r="P126" i="6" s="1"/>
  <c r="Q125" i="6"/>
  <c r="P125" i="6" s="1"/>
  <c r="Q124" i="6"/>
  <c r="P124" i="6" s="1"/>
  <c r="Q123" i="6"/>
  <c r="R118" i="6"/>
  <c r="Q118" i="6"/>
  <c r="Q112" i="6"/>
  <c r="P112" i="6" s="1"/>
  <c r="Q111" i="6"/>
  <c r="P111" i="6" s="1"/>
  <c r="Q110" i="6"/>
  <c r="P110" i="6" s="1"/>
  <c r="Q109" i="6"/>
  <c r="P109" i="6" s="1"/>
  <c r="Q108" i="6"/>
  <c r="P108" i="6" s="1"/>
  <c r="Q107" i="6"/>
  <c r="R87" i="6"/>
  <c r="Q83" i="6"/>
  <c r="P83" i="6" s="1"/>
  <c r="Q81" i="6"/>
  <c r="Q80" i="6"/>
  <c r="P80" i="6" s="1"/>
  <c r="M87" i="6"/>
  <c r="M83" i="6"/>
  <c r="L83" i="6" s="1"/>
  <c r="M81" i="6"/>
  <c r="Q75" i="6"/>
  <c r="P75" i="6" s="1"/>
  <c r="Q71" i="6"/>
  <c r="Q50" i="6"/>
  <c r="Q43" i="6"/>
  <c r="P43" i="6" s="1"/>
  <c r="Q42" i="6"/>
  <c r="P42" i="6" s="1"/>
  <c r="Q40" i="6"/>
  <c r="Q38" i="6"/>
  <c r="Q35" i="6"/>
  <c r="P35" i="6" s="1"/>
  <c r="Q26" i="6"/>
  <c r="P26" i="6" s="1"/>
  <c r="Q25" i="6"/>
  <c r="Q15" i="6"/>
  <c r="Q12" i="6"/>
  <c r="L147" i="6" l="1"/>
  <c r="N140" i="6"/>
  <c r="N6" i="6" s="1"/>
  <c r="F9" i="7" s="1"/>
  <c r="R89" i="6"/>
  <c r="P123" i="6"/>
  <c r="P122" i="6" s="1"/>
  <c r="P120" i="6" s="1"/>
  <c r="Q122" i="6"/>
  <c r="Q120" i="6" s="1"/>
  <c r="Q106" i="6"/>
  <c r="Q95" i="6" s="1"/>
  <c r="P107" i="6"/>
  <c r="P106" i="6" s="1"/>
  <c r="Q94" i="6"/>
  <c r="P81" i="6"/>
  <c r="P77" i="6" s="1"/>
  <c r="Q77" i="6"/>
  <c r="Q76" i="6" s="1"/>
  <c r="P71" i="6"/>
  <c r="Q69" i="6"/>
  <c r="Q68" i="6" s="1"/>
  <c r="Q48" i="6"/>
  <c r="Q46" i="6" s="1"/>
  <c r="P50" i="6"/>
  <c r="P48" i="6" s="1"/>
  <c r="P46" i="6" s="1"/>
  <c r="Q39" i="6"/>
  <c r="Q36" i="6" s="1"/>
  <c r="P40" i="6"/>
  <c r="P39" i="6" s="1"/>
  <c r="P38" i="6"/>
  <c r="P25" i="6"/>
  <c r="P23" i="6" s="1"/>
  <c r="P22" i="6" s="1"/>
  <c r="Q23" i="6"/>
  <c r="Q22" i="6" s="1"/>
  <c r="Q9" i="6"/>
  <c r="P12" i="6"/>
  <c r="P9" i="6" s="1"/>
  <c r="P15" i="6"/>
  <c r="P14" i="6" s="1"/>
  <c r="Q14" i="6"/>
  <c r="P147" i="6"/>
  <c r="R140" i="6"/>
  <c r="P182" i="6"/>
  <c r="G14" i="7"/>
  <c r="G33" i="7"/>
  <c r="P118" i="6"/>
  <c r="R95" i="6"/>
  <c r="R85" i="6"/>
  <c r="P87" i="6"/>
  <c r="P85" i="6" s="1"/>
  <c r="R70" i="6"/>
  <c r="Q180" i="6"/>
  <c r="P156" i="6"/>
  <c r="P153" i="6" s="1"/>
  <c r="Q153" i="6"/>
  <c r="P161" i="6"/>
  <c r="P157" i="6" s="1"/>
  <c r="Q157" i="6"/>
  <c r="P170" i="6"/>
  <c r="P167" i="6" s="1"/>
  <c r="Q167" i="6"/>
  <c r="L150" i="6"/>
  <c r="L140" i="6" s="1"/>
  <c r="M140" i="6"/>
  <c r="M85" i="6"/>
  <c r="L87" i="6"/>
  <c r="L85" i="6" s="1"/>
  <c r="L81" i="6"/>
  <c r="L77" i="6" s="1"/>
  <c r="M77" i="6"/>
  <c r="M162" i="6"/>
  <c r="M152" i="6" s="1"/>
  <c r="L165" i="6"/>
  <c r="L162" i="6" s="1"/>
  <c r="L152" i="6" s="1"/>
  <c r="P165" i="6"/>
  <c r="P162" i="6" s="1"/>
  <c r="Q162" i="6"/>
  <c r="Q141" i="6"/>
  <c r="Q140" i="6" s="1"/>
  <c r="P142" i="6"/>
  <c r="P141" i="6" s="1"/>
  <c r="Q133" i="6"/>
  <c r="Q131" i="6" s="1"/>
  <c r="P136" i="6"/>
  <c r="P133" i="6" s="1"/>
  <c r="P131" i="6" s="1"/>
  <c r="Q8" i="6" l="1"/>
  <c r="M76" i="6"/>
  <c r="P95" i="6"/>
  <c r="F10" i="7"/>
  <c r="F32" i="7"/>
  <c r="R88" i="6"/>
  <c r="R76" i="6" s="1"/>
  <c r="P89" i="6"/>
  <c r="P88" i="6" s="1"/>
  <c r="P76" i="6" s="1"/>
  <c r="P140" i="6"/>
  <c r="Q93" i="6"/>
  <c r="Q91" i="6" s="1"/>
  <c r="P94" i="6"/>
  <c r="P93" i="6" s="1"/>
  <c r="P91" i="6" s="1"/>
  <c r="P36" i="6"/>
  <c r="P8" i="6"/>
  <c r="P70" i="6"/>
  <c r="P69" i="6" s="1"/>
  <c r="P68" i="6" s="1"/>
  <c r="R69" i="6"/>
  <c r="R68" i="6" s="1"/>
  <c r="P180" i="6"/>
  <c r="P179" i="6" s="1"/>
  <c r="Q179" i="6"/>
  <c r="P152" i="6"/>
  <c r="Q152" i="6"/>
  <c r="L76" i="6"/>
  <c r="L6" i="6" s="1"/>
  <c r="M6" i="6"/>
  <c r="F5" i="7" s="1"/>
  <c r="F6" i="7" l="1"/>
  <c r="Q6" i="6"/>
  <c r="G5" i="7" s="1"/>
  <c r="R6" i="6"/>
  <c r="G9" i="7" s="1"/>
  <c r="G10" i="7" s="1"/>
  <c r="P6" i="6"/>
  <c r="F17" i="7"/>
  <c r="F18" i="7" s="1"/>
  <c r="F22" i="7"/>
  <c r="F23" i="7" s="1"/>
  <c r="F31" i="7"/>
  <c r="F37" i="7" s="1"/>
  <c r="F38" i="7" s="1"/>
  <c r="G6" i="7" l="1"/>
  <c r="G22" i="7"/>
  <c r="G23" i="7" s="1"/>
  <c r="G31" i="7"/>
  <c r="G17" i="7"/>
  <c r="G18" i="7" s="1"/>
  <c r="G32" i="7"/>
  <c r="G37" i="7" l="1"/>
  <c r="G38" i="7" s="1"/>
  <c r="Y119" i="6" l="1"/>
  <c r="X119" i="6" s="1"/>
  <c r="Y129" i="6" l="1"/>
  <c r="Y116" i="6"/>
  <c r="X116" i="6" s="1"/>
  <c r="Y112" i="6"/>
  <c r="X112" i="6" s="1"/>
  <c r="Y111" i="6"/>
  <c r="X111" i="6" s="1"/>
  <c r="Y110" i="6"/>
  <c r="X110" i="6" s="1"/>
  <c r="Y109" i="6"/>
  <c r="X109" i="6" s="1"/>
  <c r="Y108" i="6"/>
  <c r="X108" i="6" s="1"/>
  <c r="Y107" i="6"/>
  <c r="Y106" i="6" l="1"/>
  <c r="X107" i="6"/>
  <c r="X106" i="6" s="1"/>
  <c r="X129" i="6"/>
  <c r="U129" i="6" l="1"/>
  <c r="U116" i="6"/>
  <c r="T116" i="6" s="1"/>
  <c r="U112" i="6"/>
  <c r="T112" i="6" s="1"/>
  <c r="U111" i="6"/>
  <c r="T111" i="6" s="1"/>
  <c r="U110" i="6"/>
  <c r="T110" i="6" s="1"/>
  <c r="U109" i="6"/>
  <c r="T109" i="6" s="1"/>
  <c r="U108" i="6"/>
  <c r="T108" i="6" s="1"/>
  <c r="U107" i="6"/>
  <c r="U106" i="6" l="1"/>
  <c r="T107" i="6"/>
  <c r="T106" i="6" s="1"/>
  <c r="T129" i="6"/>
  <c r="Y176" i="6" l="1"/>
  <c r="Y175" i="6"/>
  <c r="X175" i="6" s="1"/>
  <c r="Z128" i="6"/>
  <c r="Y118" i="6"/>
  <c r="Z89" i="6"/>
  <c r="Z17" i="6"/>
  <c r="Z122" i="6" l="1"/>
  <c r="Z120" i="6" s="1"/>
  <c r="X128" i="6"/>
  <c r="X176" i="6"/>
  <c r="Y152" i="6"/>
  <c r="X118" i="6"/>
  <c r="X95" i="6" s="1"/>
  <c r="Y95" i="6"/>
  <c r="Z14" i="6"/>
  <c r="Z8" i="6" s="1"/>
  <c r="X17" i="6"/>
  <c r="X14" i="6" s="1"/>
  <c r="X8" i="6" s="1"/>
  <c r="X89" i="6"/>
  <c r="X88" i="6" s="1"/>
  <c r="X76" i="6" s="1"/>
  <c r="Z88" i="6"/>
  <c r="Z76" i="6" s="1"/>
  <c r="U176" i="6" l="1"/>
  <c r="U175" i="6"/>
  <c r="T175" i="6" s="1"/>
  <c r="V128" i="6"/>
  <c r="U118" i="6"/>
  <c r="V89" i="6"/>
  <c r="V17" i="6"/>
  <c r="T128" i="6" l="1"/>
  <c r="V122" i="6"/>
  <c r="V120" i="6" s="1"/>
  <c r="T176" i="6"/>
  <c r="U152" i="6"/>
  <c r="T118" i="6"/>
  <c r="T95" i="6" s="1"/>
  <c r="U95" i="6"/>
  <c r="T17" i="6"/>
  <c r="T14" i="6" s="1"/>
  <c r="T8" i="6" s="1"/>
  <c r="V14" i="6"/>
  <c r="V8" i="6" s="1"/>
  <c r="T89" i="6"/>
  <c r="T88" i="6" s="1"/>
  <c r="T76" i="6" s="1"/>
  <c r="V88" i="6"/>
  <c r="V76" i="6" s="1"/>
  <c r="Z180" i="6" l="1"/>
  <c r="Z179" i="6" s="1"/>
  <c r="Y180" i="6"/>
  <c r="Y137" i="6"/>
  <c r="X137" i="6" s="1"/>
  <c r="Y136" i="6"/>
  <c r="Y126" i="6"/>
  <c r="X126" i="6" s="1"/>
  <c r="Y125" i="6"/>
  <c r="X125" i="6" s="1"/>
  <c r="Y124" i="6"/>
  <c r="Y71" i="6"/>
  <c r="Y42" i="6"/>
  <c r="X42" i="6" l="1"/>
  <c r="X39" i="6" s="1"/>
  <c r="X36" i="6" s="1"/>
  <c r="Y39" i="6"/>
  <c r="Y36" i="6" s="1"/>
  <c r="X71" i="6"/>
  <c r="X69" i="6" s="1"/>
  <c r="X68" i="6" s="1"/>
  <c r="Y69" i="6"/>
  <c r="Y68" i="6" s="1"/>
  <c r="X124" i="6"/>
  <c r="X122" i="6" s="1"/>
  <c r="X120" i="6" s="1"/>
  <c r="Y122" i="6"/>
  <c r="Y120" i="6" s="1"/>
  <c r="X136" i="6"/>
  <c r="X133" i="6" s="1"/>
  <c r="X131" i="6" s="1"/>
  <c r="Y133" i="6"/>
  <c r="Y131" i="6" s="1"/>
  <c r="X180" i="6"/>
  <c r="X179" i="6" s="1"/>
  <c r="Y179" i="6"/>
  <c r="Y6" i="6" l="1"/>
  <c r="I5" i="7" s="1"/>
  <c r="C5" i="14" s="1"/>
  <c r="C35" i="14" s="1"/>
  <c r="I31" i="7" l="1"/>
  <c r="G5" i="14"/>
  <c r="G35" i="14" s="1"/>
  <c r="D36" i="14" s="1"/>
  <c r="I6" i="7"/>
  <c r="V180" i="6"/>
  <c r="V179" i="6" s="1"/>
  <c r="U180" i="6"/>
  <c r="U137" i="6"/>
  <c r="T137" i="6" s="1"/>
  <c r="U136" i="6"/>
  <c r="U126" i="6"/>
  <c r="T126" i="6" s="1"/>
  <c r="U125" i="6"/>
  <c r="T125" i="6" s="1"/>
  <c r="U124" i="6"/>
  <c r="U71" i="6"/>
  <c r="U42" i="6"/>
  <c r="T42" i="6" l="1"/>
  <c r="T39" i="6" s="1"/>
  <c r="T36" i="6" s="1"/>
  <c r="U39" i="6"/>
  <c r="U36" i="6" s="1"/>
  <c r="U69" i="6"/>
  <c r="U68" i="6" s="1"/>
  <c r="T71" i="6"/>
  <c r="T69" i="6" s="1"/>
  <c r="T68" i="6" s="1"/>
  <c r="T124" i="6"/>
  <c r="T122" i="6" s="1"/>
  <c r="T120" i="6" s="1"/>
  <c r="U122" i="6"/>
  <c r="U120" i="6" s="1"/>
  <c r="T136" i="6"/>
  <c r="T133" i="6" s="1"/>
  <c r="T131" i="6" s="1"/>
  <c r="U133" i="6"/>
  <c r="U131" i="6" s="1"/>
  <c r="U179" i="6"/>
  <c r="T180" i="6"/>
  <c r="T179" i="6" s="1"/>
  <c r="U6" i="6" l="1"/>
  <c r="H5" i="7" s="1"/>
  <c r="H6" i="7" s="1"/>
  <c r="H31" i="7" l="1"/>
  <c r="Z158" i="6" l="1"/>
  <c r="Z157" i="6" l="1"/>
  <c r="Z152" i="6" s="1"/>
  <c r="Z6" i="6" s="1"/>
  <c r="I9" i="7" s="1"/>
  <c r="X158" i="6"/>
  <c r="X157" i="6" s="1"/>
  <c r="X152" i="6" s="1"/>
  <c r="X6" i="6" s="1"/>
  <c r="I33" i="7" s="1"/>
  <c r="I10" i="7" l="1"/>
  <c r="I32" i="7"/>
  <c r="I37" i="7" s="1"/>
  <c r="I38" i="7" s="1"/>
  <c r="I22" i="7"/>
  <c r="I23" i="7" s="1"/>
  <c r="I17" i="7"/>
  <c r="I18" i="7" s="1"/>
  <c r="V158" i="6" l="1"/>
  <c r="V157" i="6" l="1"/>
  <c r="V152" i="6" s="1"/>
  <c r="V6" i="6" s="1"/>
  <c r="H9" i="7" s="1"/>
  <c r="T158" i="6"/>
  <c r="T157" i="6" s="1"/>
  <c r="T152" i="6" s="1"/>
  <c r="T6" i="6" s="1"/>
  <c r="H33" i="7" s="1"/>
  <c r="H10" i="7" l="1"/>
  <c r="H32" i="7"/>
  <c r="H37" i="7" s="1"/>
  <c r="H38" i="7" s="1"/>
  <c r="H22" i="7"/>
  <c r="H23" i="7" s="1"/>
  <c r="H17" i="7"/>
  <c r="H1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Jana Kovacikova</author>
  </authors>
  <commentList>
    <comment ref="F51" authorId="0" shapeId="0" xr:uid="{A0CEE9B4-E173-4A6A-8571-1645BA238D9E}">
      <text>
        <r>
          <rPr>
            <b/>
            <sz val="9"/>
            <color indexed="81"/>
            <rFont val="Segoe UI"/>
            <charset val="1"/>
          </rPr>
          <t>Jana Kovacikova:</t>
        </r>
        <r>
          <rPr>
            <sz val="9"/>
            <color indexed="81"/>
            <rFont val="Segoe UI"/>
            <charset val="1"/>
          </rPr>
          <t xml:space="preserve">
MŠ Budovateľská +0 EUR
MŠ Družstevná+0EUR
MŠ Hollého+0 EUR
MŠ Okružná +0 EUR
MŠ 8. mája +0 EUR
MŠ Šafárika +0 EUR
MŠ súkromná
ZŠ Bernolákova +0 EUR
ZŠ Hollého +2 200 EUR
ZŠ Murgaša +10 000 EUR
ZŠ Hronského +15 000 EUR
ZŠ Ľ- Štúra +0 EUR
ZŠ Pázmaňa +0 EUR
ZUŠ +2 480 EUR
CVČ+300 EUR
rezerva +20 EUR</t>
        </r>
      </text>
    </comment>
    <comment ref="G51" authorId="0" shapeId="0" xr:uid="{99E8752B-42B4-4A69-95F7-7889AA727C85}">
      <text>
        <r>
          <rPr>
            <b/>
            <sz val="9"/>
            <color indexed="81"/>
            <rFont val="Segoe UI"/>
            <family val="2"/>
            <charset val="238"/>
          </rPr>
          <t>Jana Kovacikova:</t>
        </r>
        <r>
          <rPr>
            <sz val="9"/>
            <color indexed="81"/>
            <rFont val="Segoe UI"/>
            <family val="2"/>
            <charset val="238"/>
          </rPr>
          <t xml:space="preserve">
MŠ Budovateľská 15 200 EUR
MŠ Družstevná 42 000 EUR
MŠ Hollého 42 300 EUR
MŠ Okružná 17 400 EUR
MŠ 8. mája 19 800 EUR
MŠ Šafárika 22 900 EUR
MŠ súkromná
ZŠ Bernolákova 21 200 EUR
ZŠ Hollého 33 400 EUR
ZŠ Murgaša 66 100 EUR
ZŠ Hronského 70 500 EUR
ZŠ Ľ- Štúra 31 600 EUR
ZŠ Pázmaňa 15 000 EUR
ZUŠ 57 480 EUR
CVČ 50 800 EUR
rezerva 24 320 EUR</t>
        </r>
      </text>
    </comment>
    <comment ref="F52" authorId="0" shapeId="0" xr:uid="{74913978-E4A1-4956-8A01-B2219D48613C}">
      <text>
        <r>
          <rPr>
            <b/>
            <sz val="9"/>
            <color indexed="81"/>
            <rFont val="Segoe UI"/>
            <charset val="1"/>
          </rPr>
          <t>Jana Kovacikova:</t>
        </r>
        <r>
          <rPr>
            <sz val="9"/>
            <color indexed="81"/>
            <rFont val="Segoe UI"/>
            <charset val="1"/>
          </rPr>
          <t xml:space="preserve">
MŠ Budovateľská -1 900 EUR
MŠ Družstevná -4 260 EUR
MŠ Hollého -6 440 EUR
MŠ Okružná -180 EUR
MŠ 8. mája -3 540 EUR
MŠ Šafárika -4 460 EUR
ZŠ Bernolákova -4 900 EUR
ZŠ Hollého -26 300 EUR
ZŠ Murgaša -56 000 EUR
ZŠ Hronského -38 200 EUR
ZŠ Ľ- Štúra -39 400 EUR
rezerva +5 580 EUR</t>
        </r>
      </text>
    </comment>
    <comment ref="G52" authorId="0" shapeId="0" xr:uid="{750467FF-D42A-41B0-BA95-3AE41210130F}">
      <text>
        <r>
          <rPr>
            <b/>
            <sz val="9"/>
            <color indexed="81"/>
            <rFont val="Segoe UI"/>
            <charset val="1"/>
          </rPr>
          <t>Jana Kovacikova:</t>
        </r>
        <r>
          <rPr>
            <sz val="9"/>
            <color indexed="81"/>
            <rFont val="Segoe UI"/>
            <charset val="1"/>
          </rPr>
          <t xml:space="preserve">
MŠ Budovateľská 17 100 EUR
MŠ Družstevná 28 240 EUR
MŠ Hollého 38 560 EUR
MŠ Okružná 20 820 EUR
MŠ 8. mája 19 460 EUR
MŠ Šafárika 15 840 EUR
MŠ súkromná
ZŠ Bernolákova 36 000 EUR
ZŠ Hollého 45 700 EUR
ZŠ Murgaša 130 000 EUR
ZŠ Hronského 75 000 EUR
ZŠ Ľ- Štúra 78 000 EUR
rezerva 15 280 EUR</t>
        </r>
      </text>
    </comment>
    <comment ref="G77" authorId="0" shapeId="0" xr:uid="{708629B1-EEF0-4909-AE26-D7D5620ADD38}">
      <text>
        <r>
          <rPr>
            <b/>
            <sz val="9"/>
            <color indexed="81"/>
            <rFont val="Segoe UI"/>
            <family val="2"/>
            <charset val="238"/>
          </rPr>
          <t>Jana Kovacikova:</t>
        </r>
        <r>
          <rPr>
            <sz val="9"/>
            <color indexed="81"/>
            <rFont val="Segoe UI"/>
            <family val="2"/>
            <charset val="238"/>
          </rPr>
          <t xml:space="preserve">
7 450 EUR služby
6 100 EUR mzdy</t>
        </r>
      </text>
    </comment>
    <comment ref="F91" authorId="0" shapeId="0" xr:uid="{D0CA88DC-84FF-4BB2-9190-BE3EF758CB6A}">
      <text>
        <r>
          <rPr>
            <b/>
            <sz val="9"/>
            <color indexed="81"/>
            <rFont val="Segoe UI"/>
            <charset val="1"/>
          </rPr>
          <t>Jana Kovacikova:</t>
        </r>
        <r>
          <rPr>
            <sz val="9"/>
            <color indexed="81"/>
            <rFont val="Segoe UI"/>
            <charset val="1"/>
          </rPr>
          <t xml:space="preserve">
cestovné -13 271 EUR
predškoláci +6 452 EUR
vzdelávacie poukazy +2 782 EUR
rozvojové projekty +0 EUR
Plán obnovy -4 775 EUR
SZP +300 EUR
odchodné +4 813 EUR
učebnice +0 EUR
lyžiarsky +11 100 EUR
ŠvP +2 900 EUR
špecifiká +98 712 EUR
UP +100 EUR
asistenti +19 584 EUR
stravné +468 300 EUR
rezerva +70 803 EUR</t>
        </r>
      </text>
    </comment>
    <comment ref="G91" authorId="0" shapeId="0" xr:uid="{394B1C7B-B2CB-4E51-9B20-DC03CB78C106}">
      <text>
        <r>
          <rPr>
            <b/>
            <sz val="9"/>
            <color indexed="81"/>
            <rFont val="Segoe UI"/>
            <charset val="1"/>
          </rPr>
          <t>Jana Kovacikova:</t>
        </r>
        <r>
          <rPr>
            <sz val="9"/>
            <color indexed="81"/>
            <rFont val="Segoe UI"/>
            <charset val="1"/>
          </rPr>
          <t xml:space="preserve">
cestovné 37 239 EUR
predškoláci 135 242 EUR
vzdelávacie poukazy 41 632 EUR
rozvojové projekty 400 EUR
Plán obnovy 52 105 EUR
SZP 1 050 EUR
odchodné 4 813 EUR
učebnice 38 300 EUR
lyžiarsky 22 500 EUR
ŠvP 20 700 EUR
špecifiká 126 406 EUR
UP 1 360 EUR
asistenti 129 384 EUR
stravné 522 800 EUR
rezerva 88 869 EUR</t>
        </r>
      </text>
    </comment>
    <comment ref="F92" authorId="0" shapeId="0" xr:uid="{206DB43E-4A9E-4E36-B72C-389F9984A72B}">
      <text>
        <r>
          <rPr>
            <b/>
            <sz val="9"/>
            <color indexed="81"/>
            <rFont val="Segoe UI"/>
            <charset val="1"/>
          </rPr>
          <t>Jana Kovacikova:</t>
        </r>
        <r>
          <rPr>
            <sz val="9"/>
            <color indexed="81"/>
            <rFont val="Segoe UI"/>
            <charset val="1"/>
          </rPr>
          <t xml:space="preserve">
MŠ 8. mája +0 EUR
ZŠ Bernolákova +2 400 EUR -7 500 EUR na meste
ZŠ Murgaša +2 115 EUR +10 000 EUR na meste
ZŠ Hronského +600 EUR + 5 000 EUR na meste
ZŠ Ľ- Štúra +18 300 EUR
ZUŠ +2 520 EUR
CVČ +4 700 EUR
rezerva +6 865 EUR</t>
        </r>
      </text>
    </comment>
    <comment ref="G92" authorId="0" shapeId="0" xr:uid="{7BEC39A6-5FB1-40E7-A52E-A46AB01D8824}">
      <text>
        <r>
          <rPr>
            <b/>
            <sz val="9"/>
            <color indexed="81"/>
            <rFont val="Segoe UI"/>
            <charset val="1"/>
          </rPr>
          <t>Jana Kovacikova</t>
        </r>
        <r>
          <rPr>
            <sz val="9"/>
            <color indexed="81"/>
            <rFont val="Segoe UI"/>
            <charset val="1"/>
          </rPr>
          <t xml:space="preserve">
MŠ 8. mája 53 000 EUR na meste
ZŠ Bernolákova 2 400 EUR+ 37 500 EUR na meste
ZŠ Murgaša 2 115 EUR + 77 000 EUR na meste
ZŠ Hronského 600 EUR + 100 000 EUR na meste
ZŠ Ľ- Štúra 98 300 EUR
ZUŠ 2 520 EUR
CVČ 4 700 EUR
rezerva 16 865 EUR</t>
        </r>
      </text>
    </comment>
    <comment ref="G116" authorId="0" shapeId="0" xr:uid="{B33B00DF-1368-4249-86BF-ACDAAE909E58}">
      <text>
        <r>
          <rPr>
            <b/>
            <sz val="9"/>
            <color indexed="81"/>
            <rFont val="Segoe UI"/>
            <family val="2"/>
            <charset val="238"/>
          </rPr>
          <t>Jana Kovacikova:</t>
        </r>
        <r>
          <rPr>
            <sz val="9"/>
            <color indexed="81"/>
            <rFont val="Segoe UI"/>
            <family val="2"/>
            <charset val="238"/>
          </rPr>
          <t xml:space="preserve">
102 870 EUR softvare
28 980 EUR hardvare</t>
        </r>
      </text>
    </comment>
    <comment ref="G117" authorId="0" shapeId="0" xr:uid="{38F68AFF-323E-4B68-83F3-7084EDD8715C}">
      <text>
        <r>
          <rPr>
            <b/>
            <sz val="9"/>
            <color indexed="81"/>
            <rFont val="Segoe UI"/>
            <family val="2"/>
            <charset val="238"/>
          </rPr>
          <t>Jana Kovacikova:</t>
        </r>
        <r>
          <rPr>
            <sz val="9"/>
            <color indexed="81"/>
            <rFont val="Segoe UI"/>
            <family val="2"/>
            <charset val="238"/>
          </rPr>
          <t xml:space="preserve">
95 % z oprávnených výdavkov 643 200 EUR</t>
        </r>
      </text>
    </comment>
    <comment ref="E124" authorId="0" shapeId="0" xr:uid="{885E4D10-5405-4C7B-9B22-7A9298E4CBB7}">
      <text>
        <r>
          <rPr>
            <b/>
            <sz val="9"/>
            <color indexed="81"/>
            <rFont val="Segoe UI"/>
            <charset val="1"/>
          </rPr>
          <t>Jana Kovacikova:</t>
        </r>
        <r>
          <rPr>
            <sz val="9"/>
            <color indexed="81"/>
            <rFont val="Segoe UI"/>
            <charset val="1"/>
          </rPr>
          <t xml:space="preserve">
23 500 EUR lesopark
5 500 EUR ihrisko Rodinka
5 630 EUR spolufinancovanie</t>
        </r>
      </text>
    </comment>
    <comment ref="G124" authorId="0" shapeId="0" xr:uid="{37AA9579-A181-42E2-8A62-3944DF1C7BB1}">
      <text>
        <r>
          <rPr>
            <b/>
            <sz val="9"/>
            <color indexed="81"/>
            <rFont val="Segoe UI"/>
            <charset val="1"/>
          </rPr>
          <t>Jana Kovacikova:</t>
        </r>
        <r>
          <rPr>
            <sz val="9"/>
            <color indexed="81"/>
            <rFont val="Segoe UI"/>
            <charset val="1"/>
          </rPr>
          <t xml:space="preserve">
23 500 EUR lesopark
5 500 EUR ihrisko Rodinka
5 630 EUR spolufinancovanie
16 EUR istina
457 984 EUR RF z prebytku 2022:
istina - 447 768 EUR
VO - 10 216 EUR</t>
        </r>
      </text>
    </comment>
    <comment ref="G127" authorId="0" shapeId="0" xr:uid="{6983186B-617B-4E19-ACD5-582648947EF9}">
      <text>
        <r>
          <rPr>
            <b/>
            <sz val="9"/>
            <color indexed="81"/>
            <rFont val="Segoe UI"/>
            <family val="2"/>
            <charset val="238"/>
          </rPr>
          <t>Jana Kovacikova:</t>
        </r>
        <r>
          <rPr>
            <sz val="9"/>
            <color indexed="81"/>
            <rFont val="Segoe UI"/>
            <family val="2"/>
            <charset val="238"/>
          </rPr>
          <t xml:space="preserve">
jedálne školstvo 34 938 EUR
jedáleň DD 8 245 EUR
DD energie 28 800 EUR
Envirofond 38 300 EUR
prídavky 30 EUR
voľby 12 200 EUR
špecifiká 27 694 EUR
pomocný vychovávateľ 1849 EUR
dotácia stravné 20 193 EUR
dotácia cestovné 6 701 EUR
PK 57 842 EUR
Nórske fondy 6 660 EUR
transparentný účet 7 150 EUR 
ihrisko Rodinka 34 500 EUR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kovacikova</author>
  </authors>
  <commentList>
    <comment ref="D6" authorId="0" shapeId="0" xr:uid="{00000000-0006-0000-0300-000001000000}">
      <text>
        <r>
          <rPr>
            <b/>
            <sz val="8"/>
            <color indexed="8"/>
            <rFont val="Tahoma"/>
            <family val="2"/>
            <charset val="238"/>
          </rPr>
          <t xml:space="preserve">Autor:
</t>
        </r>
        <r>
          <rPr>
            <sz val="8"/>
            <color indexed="8"/>
            <rFont val="Tahoma"/>
            <family val="2"/>
            <charset val="238"/>
          </rPr>
          <t>prognóza pre mesto Šaľa 5 480 115,- EUR t.j. o 47 690,- EUR viac ako máme v rozpočte po 1. úprave rozpočtu máme o 123 570,- EUR menej ako oficiálne zverejnená prognóza pre mesto Šaľa</t>
        </r>
      </text>
    </comment>
    <comment ref="B8" authorId="0" shapeId="0" xr:uid="{00000000-0006-0000-0300-000002000000}">
      <text>
        <r>
          <rPr>
            <b/>
            <sz val="8"/>
            <color indexed="8"/>
            <rFont val="Tahoma"/>
            <family val="2"/>
            <charset val="238"/>
          </rPr>
          <t xml:space="preserve">Autor:
</t>
        </r>
        <r>
          <rPr>
            <sz val="8"/>
            <color indexed="8"/>
            <rFont val="Tahoma"/>
            <family val="2"/>
            <charset val="238"/>
          </rPr>
          <t>predpis 737 393,- EUR
príjem 730 989,- EUR
% 99 - precentné plnenie</t>
        </r>
      </text>
    </comment>
    <comment ref="D8" authorId="0" shapeId="0" xr:uid="{00000000-0006-0000-0300-000003000000}">
      <text>
        <r>
          <rPr>
            <b/>
            <sz val="8"/>
            <color indexed="8"/>
            <rFont val="Tahoma"/>
            <family val="2"/>
            <charset val="238"/>
          </rPr>
          <t xml:space="preserve">Autor:
</t>
        </r>
        <r>
          <rPr>
            <sz val="8"/>
            <color indexed="8"/>
            <rFont val="Tahoma"/>
            <family val="2"/>
            <charset val="238"/>
          </rPr>
          <t>predpis 817 000,- EUR
99 % - 808 830,- EUR</t>
        </r>
      </text>
    </comment>
    <comment ref="F8" authorId="0" shapeId="0" xr:uid="{00000000-0006-0000-0300-000004000000}">
      <text>
        <r>
          <rPr>
            <b/>
            <sz val="8"/>
            <color indexed="8"/>
            <rFont val="Tahoma"/>
            <family val="2"/>
            <charset val="238"/>
          </rPr>
          <t xml:space="preserve">Autor:
</t>
        </r>
        <r>
          <rPr>
            <sz val="8"/>
            <color indexed="8"/>
            <rFont val="Tahoma"/>
            <family val="2"/>
            <charset val="1"/>
          </rPr>
          <t xml:space="preserve">predpis 823 000 eur , 99% z predpisu je 815 tis. eur
</t>
        </r>
      </text>
    </comment>
    <comment ref="F11" authorId="1" shapeId="0" xr:uid="{00000000-0006-0000-0300-000005000000}">
      <text>
        <r>
          <rPr>
            <b/>
            <sz val="8"/>
            <color indexed="81"/>
            <rFont val="Tahoma"/>
            <family val="2"/>
            <charset val="238"/>
          </rPr>
          <t>kovacikova:</t>
        </r>
        <r>
          <rPr>
            <sz val="8"/>
            <color indexed="81"/>
            <rFont val="Tahoma"/>
            <family val="2"/>
            <charset val="238"/>
          </rPr>
          <t xml:space="preserve">
z toho 5000 z novozískaných parkovacích miest revitalizáciou VP</t>
        </r>
      </text>
    </comment>
    <comment ref="F12" authorId="0" shapeId="0" xr:uid="{00000000-0006-0000-0300-000006000000}">
      <text>
        <r>
          <rPr>
            <b/>
            <sz val="8"/>
            <color indexed="8"/>
            <rFont val="Tahoma"/>
            <family val="2"/>
            <charset val="1"/>
          </rPr>
          <t xml:space="preserve">Autor:
</t>
        </r>
        <r>
          <rPr>
            <sz val="8"/>
            <color indexed="8"/>
            <rFont val="Tahoma"/>
            <family val="2"/>
            <charset val="1"/>
          </rPr>
          <t>+ 5000 eur večianske slávnosti</t>
        </r>
      </text>
    </comment>
    <comment ref="B13" authorId="0" shapeId="0" xr:uid="{00000000-0006-0000-0300-000007000000}">
      <text>
        <r>
          <rPr>
            <b/>
            <sz val="8"/>
            <color indexed="8"/>
            <rFont val="Tahoma"/>
            <family val="2"/>
            <charset val="238"/>
          </rPr>
          <t xml:space="preserve">Autor:
</t>
        </r>
        <r>
          <rPr>
            <sz val="8"/>
            <color indexed="8"/>
            <rFont val="Tahoma"/>
            <family val="2"/>
            <charset val="238"/>
          </rPr>
          <t>360 tis. EUR + 80 tis. EUR nedoplatky
predpis 2010 - 396 740,- EUR
príjem 2010 - 353 791,- EUR
% výber 89- precentný výber</t>
        </r>
      </text>
    </comment>
    <comment ref="D13" authorId="0" shapeId="0" xr:uid="{00000000-0006-0000-0300-000008000000}">
      <text>
        <r>
          <rPr>
            <b/>
            <sz val="8"/>
            <color indexed="8"/>
            <rFont val="Tahoma"/>
            <family val="2"/>
            <charset val="238"/>
          </rPr>
          <t xml:space="preserve">Autor:
</t>
        </r>
        <r>
          <rPr>
            <sz val="8"/>
            <color indexed="8"/>
            <rFont val="Tahoma"/>
            <family val="2"/>
            <charset val="238"/>
          </rPr>
          <t>predpis 570 000,- pri 25,- EUR
89 % - 507 300,- EUR
predpis 650 000,- pri 28,50 EUR
rozpočet po zohľadnaní úľav</t>
        </r>
      </text>
    </comment>
    <comment ref="F13" authorId="0" shapeId="0" xr:uid="{00000000-0006-0000-0300-000009000000}">
      <text>
        <r>
          <rPr>
            <b/>
            <sz val="8"/>
            <color indexed="8"/>
            <rFont val="Tahoma"/>
            <family val="2"/>
            <charset val="1"/>
          </rPr>
          <t xml:space="preserve">Autor:
</t>
        </r>
        <r>
          <rPr>
            <sz val="8"/>
            <color indexed="8"/>
            <rFont val="Tahoma"/>
            <family val="2"/>
            <charset val="1"/>
          </rPr>
          <t xml:space="preserve">+ 30 tis. na vymahanie nedoplatkov
</t>
        </r>
      </text>
    </comment>
    <comment ref="B14" authorId="0" shapeId="0" xr:uid="{00000000-0006-0000-0300-00000A000000}">
      <text>
        <r>
          <rPr>
            <b/>
            <sz val="8"/>
            <color indexed="8"/>
            <rFont val="Tahoma"/>
            <family val="2"/>
            <charset val="238"/>
          </rPr>
          <t xml:space="preserve">Autor:
</t>
        </r>
        <r>
          <rPr>
            <sz val="8"/>
            <color indexed="8"/>
            <rFont val="Tahoma"/>
            <family val="2"/>
            <charset val="238"/>
          </rPr>
          <t>predpis 110 040,- EUR
plnenie 115 976,- EUR
105 %</t>
        </r>
      </text>
    </comment>
    <comment ref="F14" authorId="0" shapeId="0" xr:uid="{00000000-0006-0000-0300-00000B000000}">
      <text>
        <r>
          <rPr>
            <b/>
            <sz val="8"/>
            <color indexed="8"/>
            <rFont val="Tahoma"/>
            <family val="2"/>
            <charset val="238"/>
          </rPr>
          <t xml:space="preserve">Autor:
</t>
        </r>
        <r>
          <rPr>
            <sz val="8"/>
            <color indexed="8"/>
            <rFont val="Tahoma"/>
            <family val="2"/>
            <charset val="238"/>
          </rPr>
          <t xml:space="preserve">114 000 tis. skut.plnenie 2012 </t>
        </r>
      </text>
    </comment>
    <comment ref="B18" authorId="0" shapeId="0" xr:uid="{00000000-0006-0000-0300-00000C000000}">
      <text>
        <r>
          <rPr>
            <b/>
            <sz val="8"/>
            <color indexed="8"/>
            <rFont val="Tahoma"/>
            <family val="2"/>
            <charset val="238"/>
          </rPr>
          <t xml:space="preserve">Autor:
</t>
        </r>
        <r>
          <rPr>
            <sz val="8"/>
            <color indexed="8"/>
            <rFont val="Tahoma"/>
            <family val="2"/>
            <charset val="238"/>
          </rPr>
          <t>z toho 7 700 je kaucia na réžie</t>
        </r>
      </text>
    </comment>
    <comment ref="F20" authorId="0" shapeId="0" xr:uid="{00000000-0006-0000-0300-00000D000000}">
      <text>
        <r>
          <rPr>
            <b/>
            <sz val="8"/>
            <color indexed="8"/>
            <rFont val="Tahoma"/>
            <family val="2"/>
            <charset val="1"/>
          </rPr>
          <t xml:space="preserve">Autor:
</t>
        </r>
        <r>
          <rPr>
            <sz val="8"/>
            <color indexed="8"/>
            <rFont val="Tahoma"/>
            <family val="2"/>
            <charset val="1"/>
          </rPr>
          <t>250 100 eur nájomné
200 000 eur sluzby spojené s nájomným=nadväznosť na výdavkovú časť</t>
        </r>
      </text>
    </comment>
    <comment ref="F23" authorId="0" shapeId="0" xr:uid="{00000000-0006-0000-0300-00000E000000}">
      <text>
        <r>
          <rPr>
            <b/>
            <sz val="8"/>
            <color indexed="8"/>
            <rFont val="Tahoma"/>
            <family val="2"/>
            <charset val="1"/>
          </rPr>
          <t xml:space="preserve">Autor:
</t>
        </r>
        <r>
          <rPr>
            <sz val="8"/>
            <color indexed="8"/>
            <rFont val="Tahoma"/>
            <family val="2"/>
            <charset val="1"/>
          </rPr>
          <t>5 klubov x 0,40 EUR/rok
+ Gabriel Száraz ZŠ 4 mesiace 639,92</t>
        </r>
      </text>
    </comment>
    <comment ref="F26" authorId="0" shapeId="0" xr:uid="{00000000-0006-0000-0300-00000F000000}">
      <text>
        <r>
          <rPr>
            <b/>
            <sz val="8"/>
            <color indexed="8"/>
            <rFont val="Tahoma"/>
            <family val="2"/>
            <charset val="1"/>
          </rPr>
          <t xml:space="preserve">Autor:
</t>
        </r>
        <r>
          <rPr>
            <sz val="8"/>
            <color indexed="8"/>
            <rFont val="Tahoma"/>
            <family val="2"/>
            <charset val="1"/>
          </rPr>
          <t xml:space="preserve">viazané na výdavky na digitalizáciu kina 
</t>
        </r>
      </text>
    </comment>
    <comment ref="F27" authorId="0" shapeId="0" xr:uid="{00000000-0006-0000-0300-000010000000}">
      <text>
        <r>
          <rPr>
            <b/>
            <sz val="8"/>
            <color indexed="8"/>
            <rFont val="Tahoma"/>
            <family val="2"/>
            <charset val="238"/>
          </rPr>
          <t xml:space="preserve">Autor:
</t>
        </r>
        <r>
          <rPr>
            <sz val="8"/>
            <color indexed="8"/>
            <rFont val="Tahoma"/>
            <family val="2"/>
            <charset val="238"/>
          </rPr>
          <t>150 eur Fabikova</t>
        </r>
      </text>
    </comment>
    <comment ref="F30" authorId="0" shapeId="0" xr:uid="{00000000-0006-0000-0300-000011000000}">
      <text>
        <r>
          <rPr>
            <b/>
            <sz val="8"/>
            <color indexed="8"/>
            <rFont val="Tahoma"/>
            <family val="2"/>
            <charset val="238"/>
          </rPr>
          <t xml:space="preserve">Autor:
</t>
        </r>
        <r>
          <rPr>
            <sz val="8"/>
            <color indexed="8"/>
            <rFont val="Tahoma"/>
            <family val="2"/>
            <charset val="238"/>
          </rPr>
          <t>vjazdy z MK = 200 eur
parkoviská = 400 eur
rozkopávky = 3000
ponikat. = 1 000 eur</t>
        </r>
      </text>
    </comment>
    <comment ref="F35" authorId="0" shapeId="0" xr:uid="{00000000-0006-0000-0300-000012000000}">
      <text>
        <r>
          <rPr>
            <b/>
            <sz val="8"/>
            <color indexed="8"/>
            <rFont val="Tahoma"/>
            <family val="2"/>
            <charset val="238"/>
          </rPr>
          <t xml:space="preserve">Autor:
</t>
        </r>
        <r>
          <rPr>
            <sz val="8"/>
            <color indexed="8"/>
            <rFont val="Tahoma"/>
            <family val="2"/>
            <charset val="238"/>
          </rPr>
          <t>14.000 pokuty MsP
+ 40 000 SU</t>
        </r>
      </text>
    </comment>
    <comment ref="F38" authorId="0" shapeId="0" xr:uid="{00000000-0006-0000-0300-000013000000}">
      <text>
        <r>
          <rPr>
            <b/>
            <sz val="8"/>
            <color indexed="8"/>
            <rFont val="Tahoma"/>
            <family val="2"/>
            <charset val="238"/>
          </rPr>
          <t xml:space="preserve">Autor:
</t>
        </r>
        <r>
          <rPr>
            <sz val="8"/>
            <color indexed="8"/>
            <rFont val="Tahoma"/>
            <family val="2"/>
            <charset val="238"/>
          </rPr>
          <t xml:space="preserve">100 eur poplatok známka za psa
500 eur prop. materialy
</t>
        </r>
      </text>
    </comment>
    <comment ref="F45" authorId="0" shapeId="0" xr:uid="{00000000-0006-0000-0300-000014000000}">
      <text>
        <r>
          <rPr>
            <b/>
            <sz val="8"/>
            <color indexed="8"/>
            <rFont val="Tahoma"/>
            <family val="2"/>
            <charset val="1"/>
          </rPr>
          <t xml:space="preserve">Autor:
</t>
        </r>
        <r>
          <rPr>
            <sz val="8"/>
            <color indexed="8"/>
            <rFont val="Tahoma"/>
            <family val="2"/>
            <charset val="1"/>
          </rPr>
          <t>+ 4 500 príjem ples</t>
        </r>
      </text>
    </comment>
    <comment ref="F56" authorId="0" shapeId="0" xr:uid="{00000000-0006-0000-0300-000015000000}">
      <text>
        <r>
          <rPr>
            <b/>
            <sz val="8"/>
            <color indexed="8"/>
            <rFont val="Tahoma"/>
            <family val="2"/>
            <charset val="238"/>
          </rPr>
          <t xml:space="preserve">Autor:
</t>
        </r>
        <r>
          <rPr>
            <sz val="8"/>
            <color indexed="8"/>
            <rFont val="Tahoma"/>
            <family val="2"/>
            <charset val="238"/>
          </rPr>
          <t>49 000 eur výťažky</t>
        </r>
      </text>
    </comment>
    <comment ref="F75" authorId="0" shapeId="0" xr:uid="{00000000-0006-0000-0300-000016000000}">
      <text>
        <r>
          <rPr>
            <b/>
            <sz val="8"/>
            <color indexed="8"/>
            <rFont val="Tahoma"/>
            <family val="2"/>
            <charset val="1"/>
          </rPr>
          <t xml:space="preserve">Autor:
</t>
        </r>
        <r>
          <rPr>
            <sz val="8"/>
            <color indexed="8"/>
            <rFont val="Tahoma"/>
            <family val="2"/>
            <charset val="1"/>
          </rPr>
          <t>1 220 eur publicita
134 900 eur zeleň</t>
        </r>
      </text>
    </comment>
    <comment ref="F81" authorId="0" shapeId="0" xr:uid="{00000000-0006-0000-0300-000017000000}">
      <text>
        <r>
          <rPr>
            <b/>
            <sz val="8"/>
            <color indexed="8"/>
            <rFont val="Tahoma"/>
            <family val="2"/>
            <charset val="1"/>
          </rPr>
          <t xml:space="preserve">Autor:
</t>
        </r>
        <r>
          <rPr>
            <sz val="8"/>
            <color indexed="8"/>
            <rFont val="Tahoma"/>
            <family val="2"/>
            <charset val="1"/>
          </rPr>
          <t xml:space="preserve">20 tis. Eur vrátiť z 2012
skut. Príjem v 2013 má byť 175 440 eur
</t>
        </r>
      </text>
    </comment>
    <comment ref="C114" authorId="0" shapeId="0" xr:uid="{00000000-0006-0000-0300-000018000000}">
      <text>
        <r>
          <rPr>
            <b/>
            <sz val="8"/>
            <color indexed="8"/>
            <rFont val="Tahoma"/>
            <family val="2"/>
            <charset val="1"/>
          </rPr>
          <t xml:space="preserve">Autor:
</t>
        </r>
        <r>
          <rPr>
            <sz val="8"/>
            <color indexed="8"/>
            <rFont val="Tahoma"/>
            <family val="2"/>
            <charset val="1"/>
          </rPr>
          <t>COV 259 659,14
Bako, Dora 8 613,91</t>
        </r>
      </text>
    </comment>
    <comment ref="D114" authorId="0" shapeId="0" xr:uid="{00000000-0006-0000-0300-000019000000}">
      <text>
        <r>
          <rPr>
            <b/>
            <sz val="8"/>
            <color indexed="8"/>
            <rFont val="Tahoma"/>
            <family val="2"/>
            <charset val="238"/>
          </rPr>
          <t xml:space="preserve">Autor:
COV 113 438,-
</t>
        </r>
        <r>
          <rPr>
            <sz val="8"/>
            <color indexed="8"/>
            <rFont val="Tahoma"/>
            <family val="2"/>
            <charset val="238"/>
          </rPr>
          <t xml:space="preserve">(Hadnaďová - 25 644,-
Hadnaďová - 11 376,-
Kišš - 9 104,-
Kišš - 22 014,-
Gyori - 6 638,-
Ružiak - 14 310,-
pošta  - 24 352,-)
</t>
        </r>
        <r>
          <rPr>
            <b/>
            <sz val="8"/>
            <color indexed="8"/>
            <rFont val="Tahoma"/>
            <family val="2"/>
            <charset val="238"/>
          </rPr>
          <t>Komenského 74 600,- 
garáž 10 000,-</t>
        </r>
      </text>
    </comment>
    <comment ref="F114" authorId="0" shapeId="0" xr:uid="{00000000-0006-0000-0300-00001A000000}">
      <text>
        <r>
          <rPr>
            <b/>
            <sz val="8"/>
            <color indexed="8"/>
            <rFont val="Tahoma"/>
            <family val="2"/>
            <charset val="1"/>
          </rPr>
          <t xml:space="preserve">Autor:
</t>
        </r>
        <r>
          <rPr>
            <sz val="8"/>
            <color indexed="8"/>
            <rFont val="Tahoma"/>
            <family val="2"/>
            <charset val="1"/>
          </rPr>
          <t>NP po Gelnickej - OVS
NP nájomca Kišš
COV - priestory po MsP = 100 tis. EUR</t>
        </r>
      </text>
    </comment>
    <comment ref="D117" authorId="0" shapeId="0" xr:uid="{00000000-0006-0000-0300-00001B000000}">
      <text>
        <r>
          <rPr>
            <b/>
            <sz val="8"/>
            <color indexed="8"/>
            <rFont val="Tahoma"/>
            <family val="2"/>
            <charset val="238"/>
          </rPr>
          <t xml:space="preserve">Autor:
Kráľovská 400 000,-
Feketeházy 46 843,- (52 047-5 204 zábezpeka v roku 2011)
Komenského 90 400,- 
COV 21 609,-
</t>
        </r>
        <r>
          <rPr>
            <sz val="8"/>
            <color indexed="8"/>
            <rFont val="Tahoma"/>
            <family val="2"/>
            <charset val="238"/>
          </rPr>
          <t xml:space="preserve">(Hadnaďová  - 4 885,-
Hadnaďová - 2 166,-
Kišš -  1 735,-
Kišš - 4 193,-
Gyori - 1 265,-
Ružiak - 2 726,-
pošta - 4 639,-  )
</t>
        </r>
        <r>
          <rPr>
            <b/>
            <sz val="8"/>
            <color indexed="8"/>
            <rFont val="Tahoma"/>
            <family val="2"/>
            <charset val="238"/>
          </rPr>
          <t>drobné odpredaje 4 640,- EUR</t>
        </r>
      </text>
    </comment>
    <comment ref="F117" authorId="0" shapeId="0" xr:uid="{00000000-0006-0000-0300-00001C000000}">
      <text>
        <r>
          <rPr>
            <b/>
            <sz val="8"/>
            <color indexed="8"/>
            <rFont val="Tahoma"/>
            <family val="2"/>
            <charset val="1"/>
          </rPr>
          <t xml:space="preserve">Autor:
</t>
        </r>
        <r>
          <rPr>
            <sz val="8"/>
            <color indexed="8"/>
            <rFont val="Tahoma"/>
            <family val="2"/>
            <charset val="1"/>
          </rPr>
          <t xml:space="preserve">CK32  - 200 tis., náhodilé príjmy za odpredaj pozemkov 80 tis. 
53 900 EUR - predaj pozemku pri Tescu (Big Barell)
145 000 ostatné pozemky
</t>
        </r>
      </text>
    </comment>
    <comment ref="D122" authorId="0" shapeId="0" xr:uid="{00000000-0006-0000-0300-00001D000000}">
      <text>
        <r>
          <rPr>
            <b/>
            <sz val="8"/>
            <color indexed="8"/>
            <rFont val="Tahoma"/>
            <family val="2"/>
            <charset val="1"/>
          </rPr>
          <t xml:space="preserve">Autor:
</t>
        </r>
        <r>
          <rPr>
            <sz val="8"/>
            <color indexed="8"/>
            <rFont val="Tahoma"/>
            <family val="2"/>
            <charset val="1"/>
          </rPr>
          <t>povodne 46 686,- EUR
potom 30 000,- EUR
zrušené uznesením MsZ</t>
        </r>
      </text>
    </comment>
    <comment ref="D125" authorId="0" shapeId="0" xr:uid="{00000000-0006-0000-0300-00001E000000}">
      <text>
        <r>
          <rPr>
            <b/>
            <sz val="8"/>
            <color indexed="8"/>
            <rFont val="Tahoma"/>
            <family val="2"/>
            <charset val="238"/>
          </rPr>
          <t xml:space="preserve">Autor:
</t>
        </r>
        <r>
          <rPr>
            <sz val="8"/>
            <color indexed="8"/>
            <rFont val="Tahoma"/>
            <family val="2"/>
            <charset val="238"/>
          </rPr>
          <t>predpokladaná skutočnosť je 308 750 EUR</t>
        </r>
      </text>
    </comment>
    <comment ref="D126" authorId="0" shapeId="0" xr:uid="{00000000-0006-0000-0300-00001F000000}">
      <text>
        <r>
          <rPr>
            <b/>
            <sz val="8"/>
            <color indexed="8"/>
            <rFont val="Tahoma"/>
            <family val="2"/>
            <charset val="1"/>
          </rPr>
          <t xml:space="preserve">Autor:
</t>
        </r>
        <r>
          <rPr>
            <sz val="8"/>
            <color indexed="8"/>
            <rFont val="Tahoma"/>
            <family val="2"/>
            <charset val="1"/>
          </rPr>
          <t>pôvodne 1 239 005,- EUR znížené o 190.294,24 EUR, ktoré boli príjmom roku 2011 (december 2011)</t>
        </r>
      </text>
    </comment>
    <comment ref="F126" authorId="0" shapeId="0" xr:uid="{00000000-0006-0000-0300-000020000000}">
      <text>
        <r>
          <rPr>
            <b/>
            <sz val="8"/>
            <color indexed="8"/>
            <rFont val="Tahoma"/>
            <family val="2"/>
            <charset val="1"/>
          </rPr>
          <t xml:space="preserve">Autor:
</t>
        </r>
        <r>
          <rPr>
            <sz val="8"/>
            <color indexed="8"/>
            <rFont val="Tahoma"/>
            <family val="2"/>
            <charset val="1"/>
          </rPr>
          <t xml:space="preserve">547 342 eur stavba
379 791 eur čistiaca technika
8 645 eur stavebný dozor
</t>
        </r>
      </text>
    </comment>
    <comment ref="D128" authorId="0" shapeId="0" xr:uid="{00000000-0006-0000-0300-000021000000}">
      <text>
        <r>
          <rPr>
            <b/>
            <sz val="8"/>
            <color indexed="8"/>
            <rFont val="Tahoma"/>
            <family val="2"/>
            <charset val="238"/>
          </rPr>
          <t xml:space="preserve">Autor:
</t>
        </r>
        <r>
          <rPr>
            <sz val="8"/>
            <color indexed="8"/>
            <rFont val="Tahoma"/>
            <family val="2"/>
            <charset val="238"/>
          </rPr>
          <t xml:space="preserve">predpokladaná skutočnosť je 512 832 EUR
</t>
        </r>
      </text>
    </comment>
    <comment ref="F128" authorId="0" shapeId="0" xr:uid="{00000000-0006-0000-0300-000022000000}">
      <text>
        <r>
          <rPr>
            <b/>
            <sz val="8"/>
            <color indexed="8"/>
            <rFont val="Tahoma"/>
            <family val="2"/>
            <charset val="238"/>
          </rPr>
          <t xml:space="preserve">Autor:
</t>
        </r>
        <r>
          <rPr>
            <sz val="8"/>
            <color indexed="8"/>
            <rFont val="Tahoma"/>
            <family val="2"/>
            <charset val="238"/>
          </rPr>
          <t xml:space="preserve">67 021 EUR - inventár,stroje, vybavenie
1 333 365 EUR - stavba
1 400386 EUR
</t>
        </r>
      </text>
    </comment>
    <comment ref="D131" authorId="0" shapeId="0" xr:uid="{00000000-0006-0000-0300-000023000000}">
      <text>
        <r>
          <rPr>
            <b/>
            <sz val="8"/>
            <color indexed="8"/>
            <rFont val="Tahoma"/>
            <family val="2"/>
            <charset val="238"/>
          </rPr>
          <t xml:space="preserve">Autor:
</t>
        </r>
        <r>
          <rPr>
            <sz val="8"/>
            <color indexed="8"/>
            <rFont val="Tahoma"/>
            <family val="2"/>
            <charset val="238"/>
          </rPr>
          <t xml:space="preserve">893 590 povodne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Jana Kovacikova</author>
    <author>kovacikova</author>
  </authors>
  <commentList>
    <comment ref="E11" authorId="0" shapeId="0" xr:uid="{7EFDECBF-9633-455A-AAF9-EAE8EBC5B1E3}">
      <text>
        <r>
          <rPr>
            <b/>
            <sz val="9"/>
            <color indexed="81"/>
            <rFont val="Segoe UI"/>
            <charset val="1"/>
          </rPr>
          <t>Jana Kovacikova:</t>
        </r>
        <r>
          <rPr>
            <sz val="9"/>
            <color indexed="81"/>
            <rFont val="Segoe UI"/>
            <charset val="1"/>
          </rPr>
          <t xml:space="preserve">
11UA špecifiká 1 092 EUR z roku 2022 </t>
        </r>
      </text>
    </comment>
    <comment ref="E12" authorId="0" shapeId="0" xr:uid="{CCF375C8-04A2-46B2-A22A-CE34ADD3F0D7}">
      <text>
        <r>
          <rPr>
            <b/>
            <sz val="9"/>
            <color indexed="81"/>
            <rFont val="Segoe UI"/>
            <charset val="1"/>
          </rPr>
          <t>Jana Kovacikova:</t>
        </r>
        <r>
          <rPr>
            <sz val="9"/>
            <color indexed="81"/>
            <rFont val="Segoe UI"/>
            <charset val="1"/>
          </rPr>
          <t xml:space="preserve">
11UA špecifiká 364 EUR z roku 2022
131L dopravné 130 EUR z roku 2022</t>
        </r>
      </text>
    </comment>
    <comment ref="E14" authorId="0" shapeId="0" xr:uid="{BEA5C029-50DC-42B4-9683-962860CDAABB}">
      <text>
        <r>
          <rPr>
            <b/>
            <sz val="9"/>
            <color indexed="81"/>
            <rFont val="Segoe UI"/>
            <charset val="1"/>
          </rPr>
          <t>Jana Kovacikova:</t>
        </r>
        <r>
          <rPr>
            <sz val="9"/>
            <color indexed="81"/>
            <rFont val="Segoe UI"/>
            <charset val="1"/>
          </rPr>
          <t xml:space="preserve">
11UA špecifiká 2 184 EUR z roku 2022</t>
        </r>
      </text>
    </comment>
    <comment ref="E15" authorId="0" shapeId="0" xr:uid="{9DA00F37-A8D4-4C43-A996-9A2F2FF4A01B}">
      <text>
        <r>
          <rPr>
            <b/>
            <sz val="9"/>
            <color indexed="81"/>
            <rFont val="Segoe UI"/>
            <charset val="1"/>
          </rPr>
          <t>Jana Kovacikova:</t>
        </r>
        <r>
          <rPr>
            <sz val="9"/>
            <color indexed="81"/>
            <rFont val="Segoe UI"/>
            <charset val="1"/>
          </rPr>
          <t xml:space="preserve">
11UA špecifiká 364 EUR z roku 2022</t>
        </r>
      </text>
    </comment>
    <comment ref="S15" authorId="0" shapeId="0" xr:uid="{75FB3C94-6582-4131-B69E-AFAD31475B8C}">
      <text>
        <r>
          <rPr>
            <b/>
            <sz val="9"/>
            <color indexed="81"/>
            <rFont val="Segoe UI"/>
            <family val="2"/>
            <charset val="238"/>
          </rPr>
          <t>Jana Kovacikova:</t>
        </r>
        <r>
          <rPr>
            <sz val="9"/>
            <color indexed="81"/>
            <rFont val="Segoe UI"/>
            <family val="2"/>
            <charset val="238"/>
          </rPr>
          <t xml:space="preserve">
300: 53 000 EUR</t>
        </r>
      </text>
    </comment>
    <comment ref="D19" authorId="0" shapeId="0" xr:uid="{F80517E4-1E6F-4F00-8786-3230792AE1AA}">
      <text>
        <r>
          <rPr>
            <b/>
            <sz val="9"/>
            <color indexed="81"/>
            <rFont val="Segoe UI"/>
            <charset val="1"/>
          </rPr>
          <t>Jana Kovacikova:</t>
        </r>
        <r>
          <rPr>
            <sz val="9"/>
            <color indexed="81"/>
            <rFont val="Segoe UI"/>
            <charset val="1"/>
          </rPr>
          <t xml:space="preserve">
131M - 1298 EUR
111 - 448 002 EUR</t>
        </r>
      </text>
    </comment>
    <comment ref="E19" authorId="0" shapeId="0" xr:uid="{FBD5018B-1781-46B9-B582-C4B5C9AA4464}">
      <text>
        <r>
          <rPr>
            <b/>
            <sz val="9"/>
            <color indexed="81"/>
            <rFont val="Segoe UI"/>
            <charset val="1"/>
          </rPr>
          <t>Jana Kovacikova:</t>
        </r>
        <r>
          <rPr>
            <sz val="9"/>
            <color indexed="81"/>
            <rFont val="Segoe UI"/>
            <charset val="1"/>
          </rPr>
          <t xml:space="preserve">
11UA špecifiká 2 980 EUR z roku 2022
131L dopravné 113 EUR z roku 2022</t>
        </r>
      </text>
    </comment>
    <comment ref="S19" authorId="0" shapeId="0" xr:uid="{A7A342E8-0085-459C-A9ED-C175E21E6133}">
      <text>
        <r>
          <rPr>
            <b/>
            <sz val="9"/>
            <color indexed="81"/>
            <rFont val="Segoe UI"/>
            <family val="2"/>
            <charset val="238"/>
          </rPr>
          <t>Jana Kovacikova:</t>
        </r>
        <r>
          <rPr>
            <sz val="9"/>
            <color indexed="81"/>
            <rFont val="Segoe UI"/>
            <family val="2"/>
            <charset val="238"/>
          </rPr>
          <t xml:space="preserve">
300: 45 000 EUR
-7 500 EUR</t>
        </r>
      </text>
    </comment>
    <comment ref="D20" authorId="0" shapeId="0" xr:uid="{FF2930BB-ED6B-4C8A-AC4A-A84AFF4FFE65}">
      <text>
        <r>
          <rPr>
            <b/>
            <sz val="9"/>
            <color indexed="81"/>
            <rFont val="Segoe UI"/>
            <charset val="1"/>
          </rPr>
          <t>Jana Kovacikova:</t>
        </r>
        <r>
          <rPr>
            <sz val="9"/>
            <color indexed="81"/>
            <rFont val="Segoe UI"/>
            <charset val="1"/>
          </rPr>
          <t xml:space="preserve">
131M - 2 488 EUR
111 - 894 512 EUR</t>
        </r>
      </text>
    </comment>
    <comment ref="E20" authorId="0" shapeId="0" xr:uid="{F0B669C4-EC29-4655-B303-E67A40B977BD}">
      <text>
        <r>
          <rPr>
            <b/>
            <sz val="9"/>
            <color indexed="81"/>
            <rFont val="Segoe UI"/>
            <charset val="1"/>
          </rPr>
          <t>Jana Kovacikova:</t>
        </r>
        <r>
          <rPr>
            <sz val="9"/>
            <color indexed="81"/>
            <rFont val="Segoe UI"/>
            <charset val="1"/>
          </rPr>
          <t xml:space="preserve">
11UA špecifiká 3 052 EUR z roku 2022
131L dopravné 577EUR z roku 2022</t>
        </r>
      </text>
    </comment>
    <comment ref="D21" authorId="0" shapeId="0" xr:uid="{4B0ADBC4-1D2F-4D51-B27A-66BE6B547B99}">
      <text>
        <r>
          <rPr>
            <b/>
            <sz val="9"/>
            <color indexed="81"/>
            <rFont val="Segoe UI"/>
            <charset val="1"/>
          </rPr>
          <t>Jana Kovacikova:</t>
        </r>
        <r>
          <rPr>
            <sz val="9"/>
            <color indexed="81"/>
            <rFont val="Segoe UI"/>
            <charset val="1"/>
          </rPr>
          <t xml:space="preserve">
131M - 21 955 EUR
111 - 1 466 045 EUR</t>
        </r>
      </text>
    </comment>
    <comment ref="E21" authorId="0" shapeId="0" xr:uid="{42B07B70-A642-4300-9DDB-9128E5D766F1}">
      <text>
        <r>
          <rPr>
            <b/>
            <sz val="9"/>
            <color indexed="81"/>
            <rFont val="Segoe UI"/>
            <charset val="1"/>
          </rPr>
          <t>Jana Kovacikova:</t>
        </r>
        <r>
          <rPr>
            <sz val="9"/>
            <color indexed="81"/>
            <rFont val="Segoe UI"/>
            <charset val="1"/>
          </rPr>
          <t xml:space="preserve">
11UA špecifiká 5 014 EUR z roku 2022
131L dopravné 2 021 EUR z roku 2022</t>
        </r>
      </text>
    </comment>
    <comment ref="S21" authorId="0" shapeId="0" xr:uid="{DA761D5C-4847-4377-AD2E-45FE97678EDE}">
      <text>
        <r>
          <rPr>
            <b/>
            <sz val="9"/>
            <color indexed="81"/>
            <rFont val="Segoe UI"/>
            <family val="2"/>
            <charset val="238"/>
          </rPr>
          <t>Jana Kovacikova:</t>
        </r>
        <r>
          <rPr>
            <sz val="9"/>
            <color indexed="81"/>
            <rFont val="Segoe UI"/>
            <family val="2"/>
            <charset val="238"/>
          </rPr>
          <t xml:space="preserve">
300: 67 000 EUR
+10 000EUR</t>
        </r>
      </text>
    </comment>
    <comment ref="D22" authorId="0" shapeId="0" xr:uid="{4471DDC9-346F-4198-8F64-1B3A7553ACF7}">
      <text>
        <r>
          <rPr>
            <b/>
            <sz val="9"/>
            <color indexed="81"/>
            <rFont val="Segoe UI"/>
            <charset val="1"/>
          </rPr>
          <t>Jana Kovacikova:</t>
        </r>
        <r>
          <rPr>
            <sz val="9"/>
            <color indexed="81"/>
            <rFont val="Segoe UI"/>
            <charset val="1"/>
          </rPr>
          <t xml:space="preserve">
131M - 15 474 EUR
111 - 1 313 326 EUR</t>
        </r>
      </text>
    </comment>
    <comment ref="E22" authorId="0" shapeId="0" xr:uid="{4D3E45AC-45A7-4971-8E84-59CBE2DD258A}">
      <text>
        <r>
          <rPr>
            <b/>
            <sz val="9"/>
            <color indexed="81"/>
            <rFont val="Segoe UI"/>
            <charset val="1"/>
          </rPr>
          <t>Jana Kovacikova:</t>
        </r>
        <r>
          <rPr>
            <sz val="9"/>
            <color indexed="81"/>
            <rFont val="Segoe UI"/>
            <charset val="1"/>
          </rPr>
          <t xml:space="preserve">
11UA špecifiká 3 488 EUR z roku 2022
131L dopravné 2 447 EUR z roku 2022</t>
        </r>
      </text>
    </comment>
    <comment ref="S22" authorId="0" shapeId="0" xr:uid="{AC473C61-8669-44D7-BCE4-45F9E586016A}">
      <text>
        <r>
          <rPr>
            <b/>
            <sz val="9"/>
            <color indexed="81"/>
            <rFont val="Segoe UI"/>
            <family val="2"/>
            <charset val="238"/>
          </rPr>
          <t>Jana Kovacikova:</t>
        </r>
        <r>
          <rPr>
            <sz val="9"/>
            <color indexed="81"/>
            <rFont val="Segoe UI"/>
            <family val="2"/>
            <charset val="238"/>
          </rPr>
          <t xml:space="preserve">
300: 95 000 EUR
+5 000 EUR</t>
        </r>
      </text>
    </comment>
    <comment ref="D23" authorId="0" shapeId="0" xr:uid="{7DA98EA3-DC0C-484E-913D-F2D9209A620C}">
      <text>
        <r>
          <rPr>
            <b/>
            <sz val="9"/>
            <color indexed="81"/>
            <rFont val="Segoe UI"/>
            <charset val="1"/>
          </rPr>
          <t>Jana Kovacikova:</t>
        </r>
        <r>
          <rPr>
            <sz val="9"/>
            <color indexed="81"/>
            <rFont val="Segoe UI"/>
            <charset val="1"/>
          </rPr>
          <t xml:space="preserve">
131M - 14 929 EUR
111 - 945 871 EUR</t>
        </r>
      </text>
    </comment>
    <comment ref="E23" authorId="0" shapeId="0" xr:uid="{C40BF6C5-4620-460C-AC17-19409396A887}">
      <text>
        <r>
          <rPr>
            <b/>
            <sz val="9"/>
            <color indexed="81"/>
            <rFont val="Segoe UI"/>
            <charset val="1"/>
          </rPr>
          <t>Jana Kovacikova:</t>
        </r>
        <r>
          <rPr>
            <sz val="9"/>
            <color indexed="81"/>
            <rFont val="Segoe UI"/>
            <charset val="1"/>
          </rPr>
          <t xml:space="preserve">
11UA špecifiká 9 156 EUR z roku 2022
131L dopravné 554 EUR z roku 2022</t>
        </r>
      </text>
    </comment>
    <comment ref="S23" authorId="0" shapeId="0" xr:uid="{906C66DA-3D9B-4F04-B254-8D2D3BAD123D}">
      <text>
        <r>
          <rPr>
            <b/>
            <sz val="9"/>
            <color indexed="81"/>
            <rFont val="Segoe UI"/>
            <family val="2"/>
            <charset val="238"/>
          </rPr>
          <t>Jana Kovacikova:</t>
        </r>
        <r>
          <rPr>
            <sz val="9"/>
            <color indexed="81"/>
            <rFont val="Segoe UI"/>
            <family val="2"/>
            <charset val="238"/>
          </rPr>
          <t xml:space="preserve">
300: 80 000 EUR
+18 300 EUR</t>
        </r>
      </text>
    </comment>
    <comment ref="D24" authorId="0" shapeId="0" xr:uid="{CA55D3E9-82D1-4261-8F3A-8FFC71ACDABB}">
      <text>
        <r>
          <rPr>
            <b/>
            <sz val="9"/>
            <color indexed="81"/>
            <rFont val="Segoe UI"/>
            <charset val="1"/>
          </rPr>
          <t>Jana Kovacikova:</t>
        </r>
        <r>
          <rPr>
            <sz val="9"/>
            <color indexed="81"/>
            <rFont val="Segoe UI"/>
            <charset val="1"/>
          </rPr>
          <t xml:space="preserve">
131M - 1 698 EUR
111 - 601 402 EUR</t>
        </r>
      </text>
    </comment>
    <comment ref="E24" authorId="0" shapeId="0" xr:uid="{31A0220F-85DB-4A0E-9ED5-989BC2795462}">
      <text>
        <r>
          <rPr>
            <b/>
            <sz val="9"/>
            <color indexed="81"/>
            <rFont val="Segoe UI"/>
            <charset val="1"/>
          </rPr>
          <t>Jana Kovacikova:</t>
        </r>
        <r>
          <rPr>
            <sz val="9"/>
            <color indexed="81"/>
            <rFont val="Segoe UI"/>
            <charset val="1"/>
          </rPr>
          <t xml:space="preserve">
131L dopravné 859 EUR z roku 2022</t>
        </r>
      </text>
    </comment>
    <comment ref="G46" authorId="1" shapeId="0" xr:uid="{00000000-0006-0000-0700-000001000000}">
      <text>
        <r>
          <rPr>
            <b/>
            <sz val="9"/>
            <color indexed="81"/>
            <rFont val="Segoe UI"/>
            <family val="2"/>
            <charset val="238"/>
          </rPr>
          <t>kovacikova:</t>
        </r>
        <r>
          <rPr>
            <sz val="9"/>
            <color indexed="81"/>
            <rFont val="Segoe UI"/>
            <family val="2"/>
            <charset val="238"/>
          </rPr>
          <t xml:space="preserve">
rezerva u nás v príjmoch 
200: 24 300 EUR +20
300: 10 000 EUR+6865</t>
        </r>
      </text>
    </comment>
  </commentList>
</comments>
</file>

<file path=xl/sharedStrings.xml><?xml version="1.0" encoding="utf-8"?>
<sst xmlns="http://schemas.openxmlformats.org/spreadsheetml/2006/main" count="1084" uniqueCount="709">
  <si>
    <t>plnenie 2010</t>
  </si>
  <si>
    <t>plnenie 2011</t>
  </si>
  <si>
    <t>rozpočet 2012</t>
  </si>
  <si>
    <t>rozpočet 2013 predložený</t>
  </si>
  <si>
    <t>Bežný rozpočet</t>
  </si>
  <si>
    <t>100 Daňové príjmy</t>
  </si>
  <si>
    <t>110 dane z príjmov</t>
  </si>
  <si>
    <t xml:space="preserve">111 daň z príjmov </t>
  </si>
  <si>
    <t>120 daň z majetku</t>
  </si>
  <si>
    <t>121 daň z nehnuteľnosti</t>
  </si>
  <si>
    <t>130 domáce dane na tovary a služby</t>
  </si>
  <si>
    <t>133001 daň za psa</t>
  </si>
  <si>
    <t>133012 daň za VP parkovisko</t>
  </si>
  <si>
    <t xml:space="preserve">133012 daň za VP  </t>
  </si>
  <si>
    <t>133013 poplatok za KO FO</t>
  </si>
  <si>
    <t>133013 poplatok za KO PO</t>
  </si>
  <si>
    <t>200 - 300 Nedaňové príjmy</t>
  </si>
  <si>
    <t>212 príjmy z vlastníctva</t>
  </si>
  <si>
    <t>212002 nájomné z pozemkov</t>
  </si>
  <si>
    <t>212003 nájomné COV</t>
  </si>
  <si>
    <t>212003 nájomné MsÚ</t>
  </si>
  <si>
    <t>212003 nájomné Bytkomfort</t>
  </si>
  <si>
    <t>212003 nájomné DK</t>
  </si>
  <si>
    <t>212003 nájomné Dolná</t>
  </si>
  <si>
    <t>212003 nájomné športoviská</t>
  </si>
  <si>
    <t>212003 nájomné Dom smútku</t>
  </si>
  <si>
    <t>212003 nájomné z majetku mesta</t>
  </si>
  <si>
    <t>212003 nájomné za plochy DK</t>
  </si>
  <si>
    <t>212003 príležitostný prenájom</t>
  </si>
  <si>
    <t>220 administratívne a iné poplatky</t>
  </si>
  <si>
    <t>221 správne poplatky automaty</t>
  </si>
  <si>
    <t>221 správne poplatky ŽP, SÚ, ostatné</t>
  </si>
  <si>
    <t>221 správne poplatky matrika</t>
  </si>
  <si>
    <t>221 správne poplatky REGOB</t>
  </si>
  <si>
    <t>221 správne poplatky rybárske lístky</t>
  </si>
  <si>
    <t>221 správne poplatky osvedčovanie listín a podpisov</t>
  </si>
  <si>
    <t>222 pokuty MsP, COV, SÚ, ostatné</t>
  </si>
  <si>
    <t>222 MsKJJ za porušenie finančnej disciplíny</t>
  </si>
  <si>
    <t>223 cintorínske poplatky - hrobové miesta</t>
  </si>
  <si>
    <t>223 tábor, prop. materiál, rozhl., knihy, WC,súť. podklady</t>
  </si>
  <si>
    <t>223 príjem z inzercie</t>
  </si>
  <si>
    <t>223 PCO</t>
  </si>
  <si>
    <t>223 príjem z recyklačného fondu, ENVI PAK</t>
  </si>
  <si>
    <t>223 poplatok za uloženie odpadu</t>
  </si>
  <si>
    <t>223 príjmy MsKS -  vstupné kultúrne podujatia</t>
  </si>
  <si>
    <t>223 vstupné kino</t>
  </si>
  <si>
    <t>223 iné príjmy kino + príjem mestský ples</t>
  </si>
  <si>
    <t>223 výlep plagátov</t>
  </si>
  <si>
    <t>223 vstupné SD Veča</t>
  </si>
  <si>
    <t>223 vstupné KS Večierka</t>
  </si>
  <si>
    <t>223 príjmy MsKS - kurzy</t>
  </si>
  <si>
    <t>223 vstupné športoviská</t>
  </si>
  <si>
    <t>223 COV refundácia služieb</t>
  </si>
  <si>
    <t>223 spracovanie ÚPN</t>
  </si>
  <si>
    <t>223004 COV -príjem z prebyt. majetku</t>
  </si>
  <si>
    <t>229 poplatky za znečisťovanie ovzdušia</t>
  </si>
  <si>
    <t>292 ostatné príjmy</t>
  </si>
  <si>
    <t>290 komunitná nadácia</t>
  </si>
  <si>
    <t>242 úroky</t>
  </si>
  <si>
    <t>292 refundácie</t>
  </si>
  <si>
    <t>292 refundácia Bytkomfort</t>
  </si>
  <si>
    <t>292 vlastné príjmy MsKJJ - členské</t>
  </si>
  <si>
    <t>292 príjem za telefón MsKJJ - refundácia</t>
  </si>
  <si>
    <t>292 vlastné príjmy škôl a školských zariadení</t>
  </si>
  <si>
    <t>246 úroky z hypotekárnych záložných listov</t>
  </si>
  <si>
    <t xml:space="preserve"> </t>
  </si>
  <si>
    <t>310 transfery na rôznej úrovni</t>
  </si>
  <si>
    <t>311 sponzorstvo Európsky deň židovskej kultúry</t>
  </si>
  <si>
    <t>311 grant ESF-projekt FSR (terénny soc. pracovník)</t>
  </si>
  <si>
    <t>311 sponzorstvo</t>
  </si>
  <si>
    <t>311 sponzorstvo na Súsošie Sv. Trojice</t>
  </si>
  <si>
    <t>311 sponzorstvo ZsE - rodinný futbal</t>
  </si>
  <si>
    <t>311 sponzorstvo MsP</t>
  </si>
  <si>
    <t>311 sponzorstvo ENVI - PACK</t>
  </si>
  <si>
    <t>311 grant MŠ Hollého</t>
  </si>
  <si>
    <t>311 grant knižnica</t>
  </si>
  <si>
    <t>311 grant opatrenia na zlepšenie ovzdušia v meste</t>
  </si>
  <si>
    <t>311 grant verejné osvetlenie</t>
  </si>
  <si>
    <t>311 grant stromy</t>
  </si>
  <si>
    <t>311 grant na ŠH</t>
  </si>
  <si>
    <t>311 grant - dotácia na digitalizáciu kina</t>
  </si>
  <si>
    <t>312001 dotácia MF na poskytovanie soc. služieb</t>
  </si>
  <si>
    <t>312001 dotácia MF na dofinancovanie</t>
  </si>
  <si>
    <t>312001 decentralizačná dotácia - matrika</t>
  </si>
  <si>
    <t>312001 decentralizačná dotácia - školstvo</t>
  </si>
  <si>
    <t>312001 decentralizačná dotácia - SÚ</t>
  </si>
  <si>
    <t>312001 decentralizačná dotácia ŠFRB</t>
  </si>
  <si>
    <t>312001 decentralizačná dot. správa pozem. komunik.</t>
  </si>
  <si>
    <t>312001 decentralizačná dotácia na životné prostredie</t>
  </si>
  <si>
    <t>312001 decentralizačná dotácia - register obyvateľov</t>
  </si>
  <si>
    <t>312001 dotácia na spoloč. školský úrad</t>
  </si>
  <si>
    <t>312001 dotácia cest., stravné, UP, vzd. pouk., štip.</t>
  </si>
  <si>
    <t>312001 aktivačný príspevok</t>
  </si>
  <si>
    <t>312001 kultúrne poukazy</t>
  </si>
  <si>
    <t>312001 kultúrne poukazy kino</t>
  </si>
  <si>
    <t>312001 chránená dielňa</t>
  </si>
  <si>
    <t>312001 projekt Náučný chodník</t>
  </si>
  <si>
    <t>312001 dotácia na sociálnu pomoc</t>
  </si>
  <si>
    <t>312001 dobrovoľnícka služba</t>
  </si>
  <si>
    <t>312001 voľby do parlamentu, samosprávy + referendum</t>
  </si>
  <si>
    <t>312001 príjmy MsKS - Zlatá Priadka</t>
  </si>
  <si>
    <t>312008 NSK  Súsošie Sv. Trojice</t>
  </si>
  <si>
    <t>312008 NSK Šalianske reminiscencie</t>
  </si>
  <si>
    <t>312008 NSK medzinárodný futbalový zápas</t>
  </si>
  <si>
    <t xml:space="preserve">312008 NSK Zlatá Priadka </t>
  </si>
  <si>
    <t xml:space="preserve">312008 NSK Kultúrne leto </t>
  </si>
  <si>
    <t>312008 NSK Tvorivé dielne - hračkovňa</t>
  </si>
  <si>
    <t>312008 NSK - Karneval na ľade</t>
  </si>
  <si>
    <t>312008 NSK - Šalianska veža</t>
  </si>
  <si>
    <t>331002 Visegradský fond</t>
  </si>
  <si>
    <t>Kapitálový rozpočet</t>
  </si>
  <si>
    <t>230 kapitálové príjmy</t>
  </si>
  <si>
    <t>231 príjem z predaja budov</t>
  </si>
  <si>
    <t>231 príjem z predaja bytov</t>
  </si>
  <si>
    <t>231 príjem z predaja prebytočného majetku</t>
  </si>
  <si>
    <t>233 príjem z predaja pozemkov</t>
  </si>
  <si>
    <t>300 granty a transfery</t>
  </si>
  <si>
    <t>321 kamerový systém</t>
  </si>
  <si>
    <t>321,341 grant na knižnicu</t>
  </si>
  <si>
    <t>321 grant na nákup osobného automobilu - OSS</t>
  </si>
  <si>
    <t>321 grant digitalizácia kina</t>
  </si>
  <si>
    <t>321 kapitálový transfer ZŠ Pázmáňa</t>
  </si>
  <si>
    <t>321,341 grant - znížnie energet. náročnosti MŠ Hollého</t>
  </si>
  <si>
    <t>321,341 grant revitalizácia verejných priestranstiev CMZ Šaľa</t>
  </si>
  <si>
    <t>321,341 grant - opatrenia na zlepšenie ovzdušia v meste</t>
  </si>
  <si>
    <t>321, 341 grant - Verejné osvetlenie</t>
  </si>
  <si>
    <t>321,341 grant Domov dôchodcov</t>
  </si>
  <si>
    <t>Príjmové finančné operácie</t>
  </si>
  <si>
    <t>453 zostatok prostr. z min. roku</t>
  </si>
  <si>
    <t>513 komerčné úvery</t>
  </si>
  <si>
    <t>PRÍJMY SPOLU</t>
  </si>
  <si>
    <t xml:space="preserve">  Návrh programovo rozpočtovaných výdavkov  na rok 2013</t>
  </si>
  <si>
    <t>čerpanie 2010</t>
  </si>
  <si>
    <t>čerpanie 2011</t>
  </si>
  <si>
    <t>REKAPITULÁCIA ROZPOČTU v EUR</t>
  </si>
  <si>
    <t xml:space="preserve">SPOLU </t>
  </si>
  <si>
    <t>Rok 2010</t>
  </si>
  <si>
    <t>Rok 2011</t>
  </si>
  <si>
    <t>Rok 2012</t>
  </si>
  <si>
    <t>Rok 2013</t>
  </si>
  <si>
    <t>2010             v tom:</t>
  </si>
  <si>
    <t>Bežné</t>
  </si>
  <si>
    <t>Kapitál.</t>
  </si>
  <si>
    <t>Fin.oper.</t>
  </si>
  <si>
    <t>2011             v tom:</t>
  </si>
  <si>
    <t>2012             v tom:</t>
  </si>
  <si>
    <t>2013             v tom:</t>
  </si>
  <si>
    <t>VÝDAVKY CELKOM:</t>
  </si>
  <si>
    <t>v tom:</t>
  </si>
  <si>
    <t>Program 1:   Plánovanie, manažment a kontrola</t>
  </si>
  <si>
    <t>Podprog 1.1</t>
  </si>
  <si>
    <t xml:space="preserve">Manažment mesta </t>
  </si>
  <si>
    <t>Výkon funkcie primátora mesta</t>
  </si>
  <si>
    <t>Výkon funkcie prednostu</t>
  </si>
  <si>
    <t>Výkon funkcie poslancov mesta a členov komisií zriadených pri MsZ</t>
  </si>
  <si>
    <t>Participácia obyvateľov na riadení samosprávy</t>
  </si>
  <si>
    <t>Podprog 1.2</t>
  </si>
  <si>
    <t>Plánovanie</t>
  </si>
  <si>
    <t xml:space="preserve">Strategické plánovanie </t>
  </si>
  <si>
    <t xml:space="preserve">Územné plánovanie  </t>
  </si>
  <si>
    <t>Investičné plánovanie</t>
  </si>
  <si>
    <t>Podprog 1.3</t>
  </si>
  <si>
    <t>Kontrolná činnosť</t>
  </si>
  <si>
    <t>Podprog 1.4</t>
  </si>
  <si>
    <t>Daňová,rozpočtová politika a audit</t>
  </si>
  <si>
    <t>Podprog 1.5</t>
  </si>
  <si>
    <t>Členstvo v samosprávnych organizáciách a združeniach</t>
  </si>
  <si>
    <t>Podprog 1.6</t>
  </si>
  <si>
    <t>Elektronická samospráva (ESAM)</t>
  </si>
  <si>
    <t>Program 2:   Propagácia a marketing</t>
  </si>
  <si>
    <t>Podprog 2.1</t>
  </si>
  <si>
    <t xml:space="preserve">Informovanosť o meste </t>
  </si>
  <si>
    <t>Internetový portál mesta Šaľa</t>
  </si>
  <si>
    <t>Medializácia mesta a prezentácie na výstavách</t>
  </si>
  <si>
    <t>Propagačné materiály a predmety</t>
  </si>
  <si>
    <t>Mesačník Šaľa</t>
  </si>
  <si>
    <t>Info-kiosky</t>
  </si>
  <si>
    <t>SMS Centrum</t>
  </si>
  <si>
    <t>Kronika mesta</t>
  </si>
  <si>
    <t>TV Zobor</t>
  </si>
  <si>
    <t>Podprog 2.2</t>
  </si>
  <si>
    <t>PR Podujatia</t>
  </si>
  <si>
    <t>Jarmok tradičných remesiel</t>
  </si>
  <si>
    <t>Vianočné trhy a Silvester</t>
  </si>
  <si>
    <t>Podprog 2.3</t>
  </si>
  <si>
    <t>Vzťahy s partnerskými mestami v zahraničí</t>
  </si>
  <si>
    <t>Program 3:   Interné služby</t>
  </si>
  <si>
    <t>Podprog 3.1</t>
  </si>
  <si>
    <t xml:space="preserve">Interný informačný systém </t>
  </si>
  <si>
    <t>Podprog 3.2</t>
  </si>
  <si>
    <t>Právne služby</t>
  </si>
  <si>
    <t>Podprog 3.3</t>
  </si>
  <si>
    <t>Správa a údržba majetku mesta</t>
  </si>
  <si>
    <t>Údržba hnuteľného majetku města</t>
  </si>
  <si>
    <t>Evidencia a správa pozemkov mesta</t>
  </si>
  <si>
    <t>Správa a údržba budov</t>
  </si>
  <si>
    <t>Vysporiadavanie pozemkov na území mesta</t>
  </si>
  <si>
    <t>Podprog 3.4</t>
  </si>
  <si>
    <t>Vzdelávanie zamestnancov mesta</t>
  </si>
  <si>
    <t>Podprog 3.5</t>
  </si>
  <si>
    <t>Pracovná zdravotná služba</t>
  </si>
  <si>
    <t>Program 4: Služby občanom</t>
  </si>
  <si>
    <t xml:space="preserve">Podprog 4.1 </t>
  </si>
  <si>
    <t>Občianske obrady a slávnosti</t>
  </si>
  <si>
    <t>Podprog 4.2</t>
  </si>
  <si>
    <t>Kancelária prvého kontaktu</t>
  </si>
  <si>
    <t>Osvedčovanie listín a podpisov,matrika, evidencia obyv.</t>
  </si>
  <si>
    <t>Súpisné čísla a označovanie ulíc a iných verejných priestranstiev</t>
  </si>
  <si>
    <t>Podprog 4.3.</t>
  </si>
  <si>
    <t>Stavebný úrad</t>
  </si>
  <si>
    <t>Program 5:   Bezpečnosť, právo a poriadok</t>
  </si>
  <si>
    <t>Podprog 5.1</t>
  </si>
  <si>
    <t>Verejný poriadok a bezpečnosť</t>
  </si>
  <si>
    <t>Hliadkovanie</t>
  </si>
  <si>
    <t>Kamerový systém</t>
  </si>
  <si>
    <t>Pult centralizovanej ochrany</t>
  </si>
  <si>
    <t>Prevencia kriminality</t>
  </si>
  <si>
    <t>Podprog 5.2</t>
  </si>
  <si>
    <t>Civilná ochrana</t>
  </si>
  <si>
    <t>Podprog 5.3</t>
  </si>
  <si>
    <t>Protipožiarna ochrana</t>
  </si>
  <si>
    <t>Podprog 5.4</t>
  </si>
  <si>
    <t>Verejné osvetlenie</t>
  </si>
  <si>
    <t>Rekonštrukcia VO</t>
  </si>
  <si>
    <t>Údržba VO</t>
  </si>
  <si>
    <t>Prevádzka VO</t>
  </si>
  <si>
    <t>Oprava VO</t>
  </si>
  <si>
    <t>Podprog 5.5</t>
  </si>
  <si>
    <t>Bezpečnosť obyvateľov vo vzťahu k zvieratám na verejných plochách</t>
  </si>
  <si>
    <t>Ošetrovanie a karantenizácia zvierat</t>
  </si>
  <si>
    <t xml:space="preserve">Zabezpečenie zberu exkrementov z verejných priestranstiev </t>
  </si>
  <si>
    <t>Program 6:   Odpadové hospodárstvo</t>
  </si>
  <si>
    <t>Podprog 6.1</t>
  </si>
  <si>
    <t>Zber, vývoz a zneškodňovanie odpadu</t>
  </si>
  <si>
    <t>Zber a vývoz odpadu</t>
  </si>
  <si>
    <t>Zneškodňovanie odpadu</t>
  </si>
  <si>
    <t>Podprog 6.2</t>
  </si>
  <si>
    <t>Separácia odpadu</t>
  </si>
  <si>
    <t>Separácia biologicky rozložiteľného odpadu</t>
  </si>
  <si>
    <t>Separácia ostatného odpadu a nebezpečného odpadu</t>
  </si>
  <si>
    <t>Podprog 6.3</t>
  </si>
  <si>
    <t>Nakladanie s odpadovými vodami</t>
  </si>
  <si>
    <t>Program 7:   Komunikácie</t>
  </si>
  <si>
    <t>Podprog 7.1</t>
  </si>
  <si>
    <t>Cesty</t>
  </si>
  <si>
    <t>Výstavba ciest</t>
  </si>
  <si>
    <t>Rekonštrukcia ciest</t>
  </si>
  <si>
    <t>Zimná údržba</t>
  </si>
  <si>
    <t>Oprava a údržba ciest</t>
  </si>
  <si>
    <t>Čistenie mesta</t>
  </si>
  <si>
    <t>Dopravné značenie</t>
  </si>
  <si>
    <t>Dopravné zariadenia</t>
  </si>
  <si>
    <t>Podprog 7.2</t>
  </si>
  <si>
    <t>Chodníky</t>
  </si>
  <si>
    <t>Výstavba chodníkov</t>
  </si>
  <si>
    <t>Údžba a oprava chodníkov</t>
  </si>
  <si>
    <t>Podprog 7.3</t>
  </si>
  <si>
    <t>Parkoviská</t>
  </si>
  <si>
    <t>Výstavba parkovísk</t>
  </si>
  <si>
    <t>Údržba a oprava parkovísk</t>
  </si>
  <si>
    <t>Program 8:   Doprava</t>
  </si>
  <si>
    <t>Podprog 8.1</t>
  </si>
  <si>
    <t>Zabezpečenie mestskej autobusovej dopravy</t>
  </si>
  <si>
    <t>Podprog 8.2</t>
  </si>
  <si>
    <t xml:space="preserve">Zástavky MHD </t>
  </si>
  <si>
    <t>Údržba zastávok MHD</t>
  </si>
  <si>
    <t>Program 9:   Vzdelávanie</t>
  </si>
  <si>
    <t>Podprog 9.1</t>
  </si>
  <si>
    <t>Spoločný školský úrad</t>
  </si>
  <si>
    <t>Podprog 9.2</t>
  </si>
  <si>
    <t>Materské školy</t>
  </si>
  <si>
    <t>MŠ Budovateľská ul. so ŠJ</t>
  </si>
  <si>
    <t>MŠ Družstená ul. so ŠJ</t>
  </si>
  <si>
    <t>MŠ Hollého ul. so ŠJ</t>
  </si>
  <si>
    <t>MŠ Horná ul. so ŠJ</t>
  </si>
  <si>
    <t>MŠ Okružná  ul. so ŠJ</t>
  </si>
  <si>
    <t>MŠ Ul. 8. Mája  so ŠJ</t>
  </si>
  <si>
    <t>MŠ Ul. P.J. Šafárika</t>
  </si>
  <si>
    <t>Podprog 9.3</t>
  </si>
  <si>
    <t>Základné školy</t>
  </si>
  <si>
    <t>ZŠ Bernolákova ul.. so ŠJ a ŠKD</t>
  </si>
  <si>
    <t>ZŠ Hollého ul.  so ŠJ a ŠKD</t>
  </si>
  <si>
    <t>ZŠ Horná ul. so ŠJ a ŠKD</t>
  </si>
  <si>
    <t>ZŠ Krátka ul. so ŠJ a ŠKD</t>
  </si>
  <si>
    <t>ZŠ Pionierska ul.so ŠJ a ŠKD</t>
  </si>
  <si>
    <t>ZŠ s MŠ Ul.P. Pázmaňa s VŠJ a ŠKD</t>
  </si>
  <si>
    <t>Podprog 9.4</t>
  </si>
  <si>
    <t>Záujmové vzdelávanie a voľno-časové aktivity</t>
  </si>
  <si>
    <t>Základná umelecká škola</t>
  </si>
  <si>
    <t>Centrum voľného času</t>
  </si>
  <si>
    <t>Podprog 9.5</t>
  </si>
  <si>
    <t>Účelovo viazané prostriedky...</t>
  </si>
  <si>
    <t>Podprog 9.6</t>
  </si>
  <si>
    <t>Výdavky z vlast.príjmov škôl a šk.zariad.</t>
  </si>
  <si>
    <t>Podprog. 9.7</t>
  </si>
  <si>
    <t>Rezerva</t>
  </si>
  <si>
    <t>Program 10: Šport</t>
  </si>
  <si>
    <t>Podprog 10.1</t>
  </si>
  <si>
    <t>Športové a telovýchovné akcie</t>
  </si>
  <si>
    <t>Podprog 10.2</t>
  </si>
  <si>
    <t>Športová infraštruktúra</t>
  </si>
  <si>
    <t>Mestský zimný štadión</t>
  </si>
  <si>
    <t>Futbalový štadión Šaľa</t>
  </si>
  <si>
    <t>Kolkáreň</t>
  </si>
  <si>
    <t>Mestská športová hala</t>
  </si>
  <si>
    <t>Futbalový štadión Veča</t>
  </si>
  <si>
    <t>Podprog 10.3</t>
  </si>
  <si>
    <t>Grantový systém na podporu športu</t>
  </si>
  <si>
    <t>Program 11: Kultúra</t>
  </si>
  <si>
    <t>Podprog 11.1</t>
  </si>
  <si>
    <t>Kultúrne podujatia</t>
  </si>
  <si>
    <t>Podprog 11.2</t>
  </si>
  <si>
    <t>Kultúrna infraštruktúra</t>
  </si>
  <si>
    <t>Mestská knižnica</t>
  </si>
  <si>
    <t>Amfiteáter</t>
  </si>
  <si>
    <t>Dom kultúry Šaľa</t>
  </si>
  <si>
    <t>Spoločenský dom Veča</t>
  </si>
  <si>
    <t>Podprog 11.3</t>
  </si>
  <si>
    <t>Starostlivosť o kultúrne pamiatky</t>
  </si>
  <si>
    <t>Podprog 11.4</t>
  </si>
  <si>
    <t>Grantový systém na podporu kultúry v meste</t>
  </si>
  <si>
    <t>Program 12: Prostredie pre život</t>
  </si>
  <si>
    <t>Podprog 12.1</t>
  </si>
  <si>
    <t>Verejné priestranstvá</t>
  </si>
  <si>
    <t>Verejná zeleň</t>
  </si>
  <si>
    <t>Deratizácia verejných priestranstiev</t>
  </si>
  <si>
    <t>Revitalizácia verejných priestranstiev</t>
  </si>
  <si>
    <t>Údržba verejných priestranstiev</t>
  </si>
  <si>
    <t>Podprog 12.2</t>
  </si>
  <si>
    <t>Mestský mobiliár</t>
  </si>
  <si>
    <t>Podprog 12.3</t>
  </si>
  <si>
    <t xml:space="preserve">Detské ihriská </t>
  </si>
  <si>
    <t>Podprog 12.4</t>
  </si>
  <si>
    <t>Verejné WC</t>
  </si>
  <si>
    <t>Podprog 12.5</t>
  </si>
  <si>
    <t>Artézske studne</t>
  </si>
  <si>
    <t>Podprog 12.6</t>
  </si>
  <si>
    <t>Cintorínske služby</t>
  </si>
  <si>
    <t>Podprog 12.7.</t>
  </si>
  <si>
    <t>Grantový systém na podporu rozvoja zelene v meste</t>
  </si>
  <si>
    <t xml:space="preserve">Program 13: </t>
  </si>
  <si>
    <t>Sociálna starostlivosť</t>
  </si>
  <si>
    <t>Podprog 13.1</t>
  </si>
  <si>
    <t>Starostlivosť o rodinu</t>
  </si>
  <si>
    <t>Detské jasle</t>
  </si>
  <si>
    <t>Domov pre osamelých rodičov</t>
  </si>
  <si>
    <t>Sociálno-právna ochrana detí a sociálna kuratela</t>
  </si>
  <si>
    <t>Podprog 13.2</t>
  </si>
  <si>
    <t>Opatrovateľské služby</t>
  </si>
  <si>
    <t>Terénna opatrovateľská služba</t>
  </si>
  <si>
    <t>Centralizovaná opatrovateľská služba</t>
  </si>
  <si>
    <t xml:space="preserve">Terénno-duchovná služba </t>
  </si>
  <si>
    <t>Domov sociálnej starostlivosti pre deti a dospelých</t>
  </si>
  <si>
    <t>Podprog 13.3</t>
  </si>
  <si>
    <t>Služby seniorom</t>
  </si>
  <si>
    <t xml:space="preserve">Kluby dôchodcov </t>
  </si>
  <si>
    <t>Jedálne pre dôchodcov</t>
  </si>
  <si>
    <t>Domov dôchodcov</t>
  </si>
  <si>
    <t>Podprog 13.4</t>
  </si>
  <si>
    <t>Starostlivosť o bezprístrešných obyvateľov</t>
  </si>
  <si>
    <t>Útulok pre bezdomovcov</t>
  </si>
  <si>
    <t>Strava pre bezdomovcov</t>
  </si>
  <si>
    <t>Nocľaháreň</t>
  </si>
  <si>
    <t>Podprog 13.5</t>
  </si>
  <si>
    <t>Klub zdravotne znevýhodnených občanov</t>
  </si>
  <si>
    <t>Podprog 13.6</t>
  </si>
  <si>
    <t>Aktivačné práce</t>
  </si>
  <si>
    <t>Podprog 13.7</t>
  </si>
  <si>
    <t>Dávky sociálnej pomoci</t>
  </si>
  <si>
    <t>Jednorazové dávky v hmotnej núdzi</t>
  </si>
  <si>
    <t>Podprog 13.8</t>
  </si>
  <si>
    <t>Grantový systém pre podporu sociálne a zdravotne znevýhodnených občanom mesta</t>
  </si>
  <si>
    <t>Program 14: Bývanie</t>
  </si>
  <si>
    <t>Program 15: Administratíva</t>
  </si>
  <si>
    <t>záväzky z dodáv. Faktúr</t>
  </si>
  <si>
    <t>vklad do ZI MET</t>
  </si>
  <si>
    <t>mzdy + ostatné</t>
  </si>
  <si>
    <t>Bežné príjmy</t>
  </si>
  <si>
    <t>Bežné výdavky</t>
  </si>
  <si>
    <t>Rozdiel</t>
  </si>
  <si>
    <t xml:space="preserve">Kapitálové príjmy </t>
  </si>
  <si>
    <t>Kapitálové výdavky</t>
  </si>
  <si>
    <t>Výdavkové finančné operácie</t>
  </si>
  <si>
    <t>VÝDAVKY SPOLU</t>
  </si>
  <si>
    <t>ROZDIEL</t>
  </si>
  <si>
    <t>312001 nadačný fond Tesco pre zdravšie mestá</t>
  </si>
  <si>
    <t>Bývalé kúpalisko</t>
  </si>
  <si>
    <t xml:space="preserve">rozpočet 2013 </t>
  </si>
  <si>
    <t>311 grant cena J. Johanidesa</t>
  </si>
  <si>
    <t>331 Brusel - družobné stretnutia - Európa pre občana</t>
  </si>
  <si>
    <t>očakávaná skutočnosť 2012</t>
  </si>
  <si>
    <t>očakávané čerpanie 2012</t>
  </si>
  <si>
    <t xml:space="preserve">SUMÁR PRÍJMOV A VÝDAVKOV   na rok  2013 </t>
  </si>
  <si>
    <t xml:space="preserve">      Návrh príjmov rozpočtu na rok 2013</t>
  </si>
  <si>
    <t>podprog 13.9</t>
  </si>
  <si>
    <t>OSS</t>
  </si>
  <si>
    <t>Spolu</t>
  </si>
  <si>
    <t>Kapitálové príjmy- (230)</t>
  </si>
  <si>
    <t>Kapitálové výdavky- (700)</t>
  </si>
  <si>
    <t>Príjmové finančné operácie- (400, 500)</t>
  </si>
  <si>
    <t>Výdavkové finančné operácie- (800)</t>
  </si>
  <si>
    <t>Fin.oper. 800</t>
  </si>
  <si>
    <t>V EUR</t>
  </si>
  <si>
    <t>Bežné príjmy- (100, 200, 300)</t>
  </si>
  <si>
    <t>Bežné výdavky- (600)</t>
  </si>
  <si>
    <t>V EUR za hlavné ekonomické kategórie</t>
  </si>
  <si>
    <t>v EUR za hlavné ekomomicé kategórie</t>
  </si>
  <si>
    <t>Bežný rozpočet- (100, 200, 300)</t>
  </si>
  <si>
    <t>Kapitálový rozpočet- (230, 300)</t>
  </si>
  <si>
    <t>Bežné 
600</t>
  </si>
  <si>
    <t>Kapitál. 
700</t>
  </si>
  <si>
    <t xml:space="preserve">Rozdiel </t>
  </si>
  <si>
    <t>212002 prenájom VP</t>
  </si>
  <si>
    <t>Kapitálové výdavky a rezerva na orig. kompetencie</t>
  </si>
  <si>
    <t>Participatívny rozpočet</t>
  </si>
  <si>
    <t>Podprog 15.1.</t>
  </si>
  <si>
    <t>Podprog 15.2.</t>
  </si>
  <si>
    <t xml:space="preserve">Podprog 15.3. </t>
  </si>
  <si>
    <t>Záväzky z dodávateľských faktúr</t>
  </si>
  <si>
    <t>Dlhová služba</t>
  </si>
  <si>
    <t>Administratíva (mzdy, ostatné výdavky)</t>
  </si>
  <si>
    <t>Hlavné kategórie 
ekonomickej klasifikácie</t>
  </si>
  <si>
    <t>Názov ekonomickej klasifikácie</t>
  </si>
  <si>
    <t>Daňové príjmy</t>
  </si>
  <si>
    <t>Nedaňové príjmy</t>
  </si>
  <si>
    <t>Granty a transfery</t>
  </si>
  <si>
    <t>Príjmy z transakcií s finanč. akt. a pas.</t>
  </si>
  <si>
    <t>Prijaté úvery a návratné finančné výpomoci</t>
  </si>
  <si>
    <t>Výdavky z transakcií s finanč. akt. a pas.</t>
  </si>
  <si>
    <t>Dotácia pre zabezpečovanie zdravých životných podmienok a bezpečnosti obyvateľov</t>
  </si>
  <si>
    <t>MŠ Bernolákova ul.</t>
  </si>
  <si>
    <t>Bežné a kapitálové príjmy</t>
  </si>
  <si>
    <t>Bežné a kapitálové výdavky</t>
  </si>
  <si>
    <t>222 úroky z omeškania</t>
  </si>
  <si>
    <t>292 dobropisy</t>
  </si>
  <si>
    <t>223 Terra Wag</t>
  </si>
  <si>
    <t>133006 daň z ubytovania</t>
  </si>
  <si>
    <t>223 príjem domov dôchodcov</t>
  </si>
  <si>
    <t xml:space="preserve">MŠ Súkromná </t>
  </si>
  <si>
    <t>Elektronická samospráva</t>
  </si>
  <si>
    <t>Televízia</t>
  </si>
  <si>
    <t>292 rulety, videohry, stávkové kancelárie,  poistné, vec. bremeno</t>
  </si>
  <si>
    <t>223 vlastné príjmy MsKJJ - členské</t>
  </si>
  <si>
    <t>311 grant chránená dielňa</t>
  </si>
  <si>
    <t>Príjmy 100-500</t>
  </si>
  <si>
    <t>Výdavky 600-800</t>
  </si>
  <si>
    <t>1.</t>
  </si>
  <si>
    <t>Modernizácia VO</t>
  </si>
  <si>
    <t>7.</t>
  </si>
  <si>
    <t>15.</t>
  </si>
  <si>
    <t>5 % spoluúčasť mesta na projektoch EÚ</t>
  </si>
  <si>
    <t>Kapitálové výdavky spolu</t>
  </si>
  <si>
    <t xml:space="preserve">Projektová dokumentácia </t>
  </si>
  <si>
    <t>Domov dôchodcov - rozpočtová org.</t>
  </si>
  <si>
    <t>Zariadenie pre seniorov</t>
  </si>
  <si>
    <t xml:space="preserve">311 Grant pontis </t>
  </si>
  <si>
    <t>311 grant - dobrovol. požiarny zbor</t>
  </si>
  <si>
    <t>ZŠ J. Hollého so ŠJ a ŠKD</t>
  </si>
  <si>
    <t>ZŠ s MŠ  J. Murgaša so ŠJ a ŠKD</t>
  </si>
  <si>
    <t>ZŠ J. C. Hronského so ŠJ a ŠKD</t>
  </si>
  <si>
    <t>ZŠ Ľ. Štúra so ŠJ a ŠKD</t>
  </si>
  <si>
    <t>ZŠ s MŠ P. Pázmaňa s VŠJ a ŠKD</t>
  </si>
  <si>
    <t>223 ostatné príjmy MsKS (kurzy, výlep plagátov)</t>
  </si>
  <si>
    <t>292 vratky</t>
  </si>
  <si>
    <t>450 rezervný fond</t>
  </si>
  <si>
    <t>453 účelovo viazané prostriedky z pred. Rokov</t>
  </si>
  <si>
    <t>450 predpokladaný prebytok z predch. Roka</t>
  </si>
  <si>
    <t>Tenis</t>
  </si>
  <si>
    <t>223 príjmy školské jedálne - potraviny</t>
  </si>
  <si>
    <t>Podprog. 9.8.</t>
  </si>
  <si>
    <t>Školské jedálne - potraviny</t>
  </si>
  <si>
    <t>Program      Podprogram                              Prvok</t>
  </si>
  <si>
    <t>Škola                Zariadenie</t>
  </si>
  <si>
    <t>Kap.    výd.</t>
  </si>
  <si>
    <t>CELKOM  VÝDAVKY</t>
  </si>
  <si>
    <t>Prenesené kompetencie</t>
  </si>
  <si>
    <t>Originálne kompetencie</t>
  </si>
  <si>
    <t>Celkom</t>
  </si>
  <si>
    <t>z toho</t>
  </si>
  <si>
    <t>Z toho</t>
  </si>
  <si>
    <t>PDFO</t>
  </si>
  <si>
    <t>Vlastné príjmy</t>
  </si>
  <si>
    <t>BV Normatívne     PK+PDFO</t>
  </si>
  <si>
    <t>Normatívne</t>
  </si>
  <si>
    <t>Osobitné     dotácie</t>
  </si>
  <si>
    <t>9</t>
  </si>
  <si>
    <t>9.1.</t>
  </si>
  <si>
    <t>Š k o l s k ý  ú r a d</t>
  </si>
  <si>
    <t>9.2.</t>
  </si>
  <si>
    <t>M a t e r s k é  š k o l y</t>
  </si>
  <si>
    <t>9.2.1.</t>
  </si>
  <si>
    <t xml:space="preserve">MŠ Budovateľská so ŠJ </t>
  </si>
  <si>
    <t>9.2.2.</t>
  </si>
  <si>
    <t>MŠ Družstevná so ŠJ</t>
  </si>
  <si>
    <t>9.2.3.</t>
  </si>
  <si>
    <t>MŠ Hollého so ŠJ</t>
  </si>
  <si>
    <t>9.2.4.</t>
  </si>
  <si>
    <t>MŠ Šaľa,Bernolákova</t>
  </si>
  <si>
    <t>9.2.5.</t>
  </si>
  <si>
    <t>MŠ Okružná so ŠJ</t>
  </si>
  <si>
    <t>9.2.6.</t>
  </si>
  <si>
    <t>MŠ 8.mája so ŠJ</t>
  </si>
  <si>
    <t>9.2.7.</t>
  </si>
  <si>
    <t>MŠ Šafárikova so ŠJ</t>
  </si>
  <si>
    <t>9.2.8.</t>
  </si>
  <si>
    <t>MŠ súkromná</t>
  </si>
  <si>
    <t>9.3.</t>
  </si>
  <si>
    <t>Z á k l a d n é   š k o l y</t>
  </si>
  <si>
    <t>9.3.1.</t>
  </si>
  <si>
    <t>ZŠ s MŠ Bern. so ŠJaŠKD</t>
  </si>
  <si>
    <t>9.3.2.</t>
  </si>
  <si>
    <t>ZŠ J. Hollého so ŠJ a ŠKD</t>
  </si>
  <si>
    <t>9.3.3.</t>
  </si>
  <si>
    <t>ZŠ s MŠ J. Murg.soŠJaŠKD</t>
  </si>
  <si>
    <t>9.3.4.</t>
  </si>
  <si>
    <t>ZŠ J.C.Hronsk.so ŠJaŠKD</t>
  </si>
  <si>
    <t>9.3.5.</t>
  </si>
  <si>
    <t>ZŠ Ľ. Štúra so ŠJ a ŠKD</t>
  </si>
  <si>
    <t>9.3.6.</t>
  </si>
  <si>
    <t xml:space="preserve">ZŠ s MŠ P.Pázm.VJMsŠKD </t>
  </si>
  <si>
    <t>9.4.</t>
  </si>
  <si>
    <t>Volnočasové aktivity</t>
  </si>
  <si>
    <t>9.4.1.</t>
  </si>
  <si>
    <t xml:space="preserve">ZUŠ Šaľa, Kukučínova </t>
  </si>
  <si>
    <t>9.4.2.</t>
  </si>
  <si>
    <t xml:space="preserve">CVČ Šaľa, Štefánikova </t>
  </si>
  <si>
    <t>Spojená škola, Krátka 11</t>
  </si>
  <si>
    <t>9.5.</t>
  </si>
  <si>
    <t>Osobitné dotácie</t>
  </si>
  <si>
    <t>na dopravu žiakov</t>
  </si>
  <si>
    <t>pre MŠ za predškolákov</t>
  </si>
  <si>
    <t>za vzdelávacie poukazy</t>
  </si>
  <si>
    <t>odchodné</t>
  </si>
  <si>
    <t>na školské potreby</t>
  </si>
  <si>
    <t>na mzdu za asistenta učiteľa</t>
  </si>
  <si>
    <t>Škola v prírode</t>
  </si>
  <si>
    <t>Lyžiarsky výcvik</t>
  </si>
  <si>
    <t>sociálne znevýhodnený</t>
  </si>
  <si>
    <t>9.6.</t>
  </si>
  <si>
    <t>9.7.</t>
  </si>
  <si>
    <t>9.8.</t>
  </si>
  <si>
    <t>ŠJ - potraviny</t>
  </si>
  <si>
    <t>311 dary, sponzorstvo</t>
  </si>
  <si>
    <t>456 zábezpeka byty</t>
  </si>
  <si>
    <t>DD - kapitálové výdavky</t>
  </si>
  <si>
    <t>9.</t>
  </si>
  <si>
    <t>11.</t>
  </si>
  <si>
    <t>450 fond rozvoja bývania, fond opráv</t>
  </si>
  <si>
    <t>221 správne poplatky evidencia obyvateľstva</t>
  </si>
  <si>
    <t>292 náhrada škody</t>
  </si>
  <si>
    <t>ŠJ potraviny zdroj 72f</t>
  </si>
  <si>
    <t>ŠJ potraviny zdroj 111</t>
  </si>
  <si>
    <t>212003 nájomné a réžie MeT</t>
  </si>
  <si>
    <t>311 grant Nórske fondy</t>
  </si>
  <si>
    <t>231 príjem z predaja bytov a priestorov</t>
  </si>
  <si>
    <t>MsKJJ</t>
  </si>
  <si>
    <t>Spolu všetky rozpočtové organizácie</t>
  </si>
  <si>
    <t>príjmy za potraviny od rodičov</t>
  </si>
  <si>
    <t>počiatočné stavy na účtoch ŠJ</t>
  </si>
  <si>
    <t>Výdavky z vlastných príjmov</t>
  </si>
  <si>
    <t>Spolu z účovníctva mesta</t>
  </si>
  <si>
    <t>SPOLU PRÍJMY A VÝDAVKY MESTA ŠAĽA</t>
  </si>
  <si>
    <t>Fin. op.</t>
  </si>
  <si>
    <t>Kapitálové</t>
  </si>
  <si>
    <t xml:space="preserve">Fin. op. </t>
  </si>
  <si>
    <t xml:space="preserve">Rekonštrukcia MK </t>
  </si>
  <si>
    <t>Rozpočet  výdavkov rozpočtu v RO</t>
  </si>
  <si>
    <t>Rozpočet príjmov rozpočtu RO</t>
  </si>
  <si>
    <t>133015 daň za rozvoj</t>
  </si>
  <si>
    <t>321 dotácia MsKS Šaľa</t>
  </si>
  <si>
    <t>5.</t>
  </si>
  <si>
    <t>312 dotácia - výkon osobitného príjemcu</t>
  </si>
  <si>
    <t>312 dotácia MPSVaR na poskytovanie soc. služieb pre OSS</t>
  </si>
  <si>
    <t>312 dotácia MPSVaR na poskytovanie soc. služieb pre DD</t>
  </si>
  <si>
    <t>312 decentralizačná dotácia - matrika</t>
  </si>
  <si>
    <t>312 decentralizačná dotácia - školstvo</t>
  </si>
  <si>
    <t>312 decentralizačná dotácia - SÚ</t>
  </si>
  <si>
    <t>312 decentralizačná dotácia ŠFRB</t>
  </si>
  <si>
    <t>312 decentralizačná dot. správa pozem. komunik.</t>
  </si>
  <si>
    <t>312 decentralizačná dotácia na životné prostredie</t>
  </si>
  <si>
    <t>312 decentralizačná dotácia - register obyvateľov, reg. adries</t>
  </si>
  <si>
    <t>312 dotácia na spoloč. školský úrad</t>
  </si>
  <si>
    <t>312 dotácia cest., stravné, UP, vzd. pouk., štip.školu v prírode, lyžiarsky</t>
  </si>
  <si>
    <t>312 audiovizuálny fond</t>
  </si>
  <si>
    <t>312 príjmy MsKS - Zlatá Priadka</t>
  </si>
  <si>
    <t>312 FPU</t>
  </si>
  <si>
    <t>312 Dotácia Enviromentány fond</t>
  </si>
  <si>
    <t>312 NSK - šport, kultúra, propagácia, cestovný ruch</t>
  </si>
  <si>
    <t>učebnice</t>
  </si>
  <si>
    <t>12.</t>
  </si>
  <si>
    <t>311 grant WIFI</t>
  </si>
  <si>
    <t>321 dotácia dopravné ihrisko</t>
  </si>
  <si>
    <t>311 grant dopravné ihrisko</t>
  </si>
  <si>
    <t>312 dotácia COVID</t>
  </si>
  <si>
    <t>vlastné príjmy 200</t>
  </si>
  <si>
    <t>vlastné príjmy 300</t>
  </si>
  <si>
    <t>312 dotácia MsKJJ</t>
  </si>
  <si>
    <t>240, 290 ostatné príjmy</t>
  </si>
  <si>
    <t>plnenie 2021</t>
  </si>
  <si>
    <t>skutočnosť 2021</t>
  </si>
  <si>
    <t>plnenie rozpočtu 2021</t>
  </si>
  <si>
    <t>312 dotácia DK Šaľa - publicita</t>
  </si>
  <si>
    <t>321 dotácia - lesopark, ZŠ Ľ. Štúra</t>
  </si>
  <si>
    <t>321 dotácia audiovizuálny fond</t>
  </si>
  <si>
    <t>KV školstvo</t>
  </si>
  <si>
    <t>Rekonštrukcia budovy DK Šaľa</t>
  </si>
  <si>
    <t>223 príjem jedáleň DD - potraviny</t>
  </si>
  <si>
    <t>212 príjem z prenájmu v školských zariadeniach</t>
  </si>
  <si>
    <t>240,292 ostatné príjmy školstvo (refundácie, vratky, dobropisy, poistné)</t>
  </si>
  <si>
    <t>292 ostatný príjem MsKJJ - refundácia telefón, vratky, dobropisy</t>
  </si>
  <si>
    <t>312 dotácie a granty školstvo ako vlastné príjmy</t>
  </si>
  <si>
    <t>Cintorín - kolumbárium</t>
  </si>
  <si>
    <t>hranie</t>
  </si>
  <si>
    <t>200 vlastné príjmy škôl a školských zariadení z poplatkov</t>
  </si>
  <si>
    <t>312 dotácie voľby, referendum, sčítanie</t>
  </si>
  <si>
    <t>Program</t>
  </si>
  <si>
    <t>čítame radi</t>
  </si>
  <si>
    <t>312 dotácia Úrad vlády - vojnové hroby</t>
  </si>
  <si>
    <t>321 grant ihrisko</t>
  </si>
  <si>
    <t>292 refundácie, kolky, ostatné príjmy, Nemčeková, vec. bremeno</t>
  </si>
  <si>
    <t>rozpočet 2023</t>
  </si>
  <si>
    <t>rozpočet 2024</t>
  </si>
  <si>
    <t>321 dotácia predstaničný priestor</t>
  </si>
  <si>
    <t>321 dotácia SMART</t>
  </si>
  <si>
    <t>SMART</t>
  </si>
  <si>
    <t>13.</t>
  </si>
  <si>
    <t>multifunkčné ihrisko</t>
  </si>
  <si>
    <t>plaváreň</t>
  </si>
  <si>
    <t>10.</t>
  </si>
  <si>
    <t>Predstaničný priestor</t>
  </si>
  <si>
    <t>Výdavky</t>
  </si>
  <si>
    <t>cudzie zdroje</t>
  </si>
  <si>
    <t>vlastné zdroje</t>
  </si>
  <si>
    <t>úver</t>
  </si>
  <si>
    <t>kapitálové granty</t>
  </si>
  <si>
    <t>bežné príjmy</t>
  </si>
  <si>
    <t>kapitálové príjmy</t>
  </si>
  <si>
    <t>Finančné operácie</t>
  </si>
  <si>
    <t>ŠFRB</t>
  </si>
  <si>
    <t>SPOLU</t>
  </si>
  <si>
    <t>KTK</t>
  </si>
  <si>
    <t>reštrukturalizovaný úver</t>
  </si>
  <si>
    <t>2023</t>
  </si>
  <si>
    <t>rozpočet výdavkov 2023</t>
  </si>
  <si>
    <t>rozpočet príjmov 2023</t>
  </si>
  <si>
    <t xml:space="preserve">311 Grant JUVAMEN </t>
  </si>
  <si>
    <t>500 kontokorentný úver, preklenovací úver</t>
  </si>
  <si>
    <t>plnenie 2022</t>
  </si>
  <si>
    <t>skutočnosť 2022</t>
  </si>
  <si>
    <t>plnenie rozpočtu 2022</t>
  </si>
  <si>
    <t>312 dotácia Ukrajina</t>
  </si>
  <si>
    <t>321 dotácia prenesené komepetencie - školstvo havárie</t>
  </si>
  <si>
    <t>321 dotácia kybernetická bezpečnosť</t>
  </si>
  <si>
    <t>456 mesto ako osobitný príjemca, transparentný účet</t>
  </si>
  <si>
    <t>Podprogram 13.10</t>
  </si>
  <si>
    <t>Pomov Ukrajine</t>
  </si>
  <si>
    <t>3.</t>
  </si>
  <si>
    <t>Rekonštrukkcia priestorov MsP</t>
  </si>
  <si>
    <t>Lesopark, akčný plán, vyňatie pôdy</t>
  </si>
  <si>
    <t>311 grant SMART</t>
  </si>
  <si>
    <t>311 grant kybernetická bezpečnosť</t>
  </si>
  <si>
    <t>311 grant predstanočný priestor</t>
  </si>
  <si>
    <t>Kybernetická bezpečnosť</t>
  </si>
  <si>
    <t>Svetelná signalizácia</t>
  </si>
  <si>
    <t>Vnútroblok</t>
  </si>
  <si>
    <t xml:space="preserve">312 dotácia MPSVaR SR </t>
  </si>
  <si>
    <t xml:space="preserve">321 grant JUVAMEN </t>
  </si>
  <si>
    <t>rozvojové projekty</t>
  </si>
  <si>
    <t>plán obnovy a odolnosti</t>
  </si>
  <si>
    <t>špecifiká - UA</t>
  </si>
  <si>
    <t>Rozpočet školstvo spolu</t>
  </si>
  <si>
    <t>účelovo viazané prostriedky z predch.obdobia</t>
  </si>
  <si>
    <t>rezervný fond, fond opráv</t>
  </si>
  <si>
    <t xml:space="preserve">3. </t>
  </si>
  <si>
    <t>Lesopark, akčný plán</t>
  </si>
  <si>
    <t>Rekonštrukcia priestorov MsP</t>
  </si>
  <si>
    <t>Rozpočet 2023</t>
  </si>
  <si>
    <t>Nízkoprahové denné centrum</t>
  </si>
  <si>
    <t>rozpočet 2023 po RO</t>
  </si>
  <si>
    <t>1. úprava rozpočtu 2023</t>
  </si>
  <si>
    <t>Rozpočet 2023 po 1. úprave</t>
  </si>
  <si>
    <t xml:space="preserve">
Rozpočet 2023</t>
  </si>
  <si>
    <t>Rozpočet 
2023</t>
  </si>
  <si>
    <t>Rozpočet 2023 po RO</t>
  </si>
  <si>
    <t>311 grant Ekopolis</t>
  </si>
  <si>
    <t>311 grant Ekofond SPP</t>
  </si>
  <si>
    <t>311 grant Úrad vlády</t>
  </si>
  <si>
    <t>321 grant Úrad vlády - ihrisko</t>
  </si>
  <si>
    <t>MsP - klimatizácia</t>
  </si>
  <si>
    <t>investície 2023 schválený rozpočet</t>
  </si>
  <si>
    <t>investície 2023 po RO</t>
  </si>
  <si>
    <t>ZŠ Hollého - sporák, rekonštrukcia blezkozvodov</t>
  </si>
  <si>
    <t>ZŠ s MŠ  J. Murgaša - detské ihrisko</t>
  </si>
  <si>
    <t>MŠ Družstevná - havária strechy</t>
  </si>
  <si>
    <t>Ihrisko Rodinka</t>
  </si>
  <si>
    <t>ihrisko Kpt. Jaroša</t>
  </si>
  <si>
    <t>Krízové centrum - strecha</t>
  </si>
  <si>
    <t>Parkovisko - cintorín</t>
  </si>
  <si>
    <t>transparentný účet</t>
  </si>
  <si>
    <t>312 dotácia Riešenie migračných výziev</t>
  </si>
  <si>
    <t>321 dotácia MPSVaR SR - automobil</t>
  </si>
  <si>
    <t>Terrénna starostlivosť - automobil</t>
  </si>
  <si>
    <t xml:space="preserve">Tabuľka č. 1 Návrh na 1. úpravu rozpočtu príjmov v roku 2023 </t>
  </si>
  <si>
    <t xml:space="preserve">  Tabuľka č. 2  Návrh na 1. úpravu rozpočtu výdavkov v roku 2023 </t>
  </si>
  <si>
    <t>Tabuľka č. 3 Sumár 1. úpravy rozpočtu príjmov a výdavkov v roku 2023</t>
  </si>
  <si>
    <t>Tabuľka č. 4 Úprava rozpočtu investícií na rok 2023</t>
  </si>
  <si>
    <t>Tabuľka č. 5  Upravený rozpočet príjmov a výdavkov rozpočtových organizácií a spolu mesta  Šaľa na rok 2023</t>
  </si>
  <si>
    <t>Tabuľka č. 6  Zdroje krytia výdavkov rozpočtu mesta v roku 2023 po 1. úprave</t>
  </si>
  <si>
    <t>Terenna starostlivosť - automobil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</si>
</sst>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1"/>
      <color indexed="8"/>
      <name val="Calibri"/>
      <family val="2"/>
      <charset val="238"/>
    </font>
    <font>
      <sz val="10"/>
      <name val="Arial"/>
      <family val="2"/>
      <charset val="238"/>
    </font>
    <font>
      <b/>
      <sz val="12"/>
      <name val="Arial CE"/>
      <family val="2"/>
      <charset val="238"/>
    </font>
    <font>
      <sz val="7"/>
      <name val="Arial"/>
      <family val="2"/>
      <charset val="238"/>
    </font>
    <font>
      <b/>
      <u/>
      <sz val="11"/>
      <name val="Arial CE"/>
      <family val="2"/>
      <charset val="238"/>
    </font>
    <font>
      <b/>
      <sz val="11"/>
      <name val="Arial CE"/>
      <family val="2"/>
      <charset val="238"/>
    </font>
    <font>
      <b/>
      <sz val="10"/>
      <name val="Arial CE"/>
      <family val="2"/>
      <charset val="238"/>
    </font>
    <font>
      <b/>
      <sz val="10"/>
      <name val="Arial"/>
      <family val="2"/>
      <charset val="238"/>
    </font>
    <font>
      <b/>
      <sz val="8"/>
      <color indexed="8"/>
      <name val="Tahoma"/>
      <family val="2"/>
      <charset val="238"/>
    </font>
    <font>
      <sz val="8"/>
      <color indexed="8"/>
      <name val="Tahoma"/>
      <family val="2"/>
      <charset val="238"/>
    </font>
    <font>
      <sz val="8"/>
      <color indexed="8"/>
      <name val="Tahoma"/>
      <family val="2"/>
      <charset val="1"/>
    </font>
    <font>
      <sz val="10"/>
      <name val="Arial CE"/>
      <family val="2"/>
      <charset val="238"/>
    </font>
    <font>
      <b/>
      <sz val="8"/>
      <color indexed="8"/>
      <name val="Tahoma"/>
      <family val="2"/>
      <charset val="1"/>
    </font>
    <font>
      <sz val="11"/>
      <name val="Calibri"/>
      <family val="2"/>
      <charset val="238"/>
    </font>
    <font>
      <b/>
      <sz val="12"/>
      <name val="Arial"/>
      <family val="2"/>
      <charset val="238"/>
    </font>
    <font>
      <sz val="8"/>
      <name val="Arial CE"/>
      <family val="2"/>
      <charset val="238"/>
    </font>
    <font>
      <sz val="10"/>
      <color indexed="10"/>
      <name val="Arial"/>
      <family val="2"/>
      <charset val="238"/>
    </font>
    <font>
      <i/>
      <sz val="10"/>
      <name val="Arial CE"/>
      <family val="2"/>
      <charset val="238"/>
    </font>
    <font>
      <i/>
      <sz val="10"/>
      <color indexed="10"/>
      <name val="Arial"/>
      <family val="2"/>
      <charset val="238"/>
    </font>
    <font>
      <i/>
      <sz val="10"/>
      <name val="Arial"/>
      <family val="2"/>
      <charset val="238"/>
    </font>
    <font>
      <b/>
      <sz val="14"/>
      <name val="Arial"/>
      <family val="2"/>
      <charset val="238"/>
    </font>
    <font>
      <b/>
      <sz val="9"/>
      <name val="Arial CE"/>
      <family val="2"/>
      <charset val="238"/>
    </font>
    <font>
      <b/>
      <i/>
      <sz val="11"/>
      <name val="Arial CE"/>
      <family val="2"/>
      <charset val="238"/>
    </font>
    <font>
      <b/>
      <i/>
      <sz val="9"/>
      <name val="Arial CE"/>
      <family val="2"/>
      <charset val="238"/>
    </font>
    <font>
      <i/>
      <sz val="12"/>
      <name val="Arial Narrow"/>
      <family val="2"/>
      <charset val="238"/>
    </font>
    <font>
      <b/>
      <i/>
      <sz val="10"/>
      <name val="Arial CE"/>
      <family val="2"/>
      <charset val="238"/>
    </font>
    <font>
      <i/>
      <sz val="11"/>
      <name val="Arial Narrow"/>
      <family val="2"/>
      <charset val="238"/>
    </font>
    <font>
      <i/>
      <sz val="12"/>
      <color indexed="8"/>
      <name val="Arial Narrow"/>
      <family val="2"/>
      <charset val="238"/>
    </font>
    <font>
      <i/>
      <sz val="11"/>
      <color indexed="8"/>
      <name val="Arial Narrow"/>
      <family val="2"/>
      <charset val="238"/>
    </font>
    <font>
      <b/>
      <i/>
      <sz val="9"/>
      <name val="Arial"/>
      <family val="2"/>
      <charset val="238"/>
    </font>
    <font>
      <i/>
      <sz val="9"/>
      <name val="Arial Narrow"/>
      <family val="2"/>
      <charset val="238"/>
    </font>
    <font>
      <b/>
      <sz val="9"/>
      <name val="Arial"/>
      <family val="2"/>
      <charset val="238"/>
    </font>
    <font>
      <b/>
      <i/>
      <sz val="11"/>
      <name val="Arial Narrow"/>
      <family val="2"/>
      <charset val="238"/>
    </font>
    <font>
      <sz val="12"/>
      <name val="Arial CE"/>
      <family val="2"/>
      <charset val="238"/>
    </font>
    <font>
      <sz val="12"/>
      <name val="Arial"/>
      <family val="2"/>
      <charset val="238"/>
    </font>
    <font>
      <b/>
      <sz val="14"/>
      <name val="Arial CE"/>
      <family val="2"/>
      <charset val="238"/>
    </font>
    <font>
      <sz val="14"/>
      <name val="Arial CE"/>
      <family val="2"/>
      <charset val="238"/>
    </font>
    <font>
      <sz val="14"/>
      <name val="Arial"/>
      <family val="2"/>
      <charset val="238"/>
    </font>
    <font>
      <sz val="8"/>
      <color indexed="81"/>
      <name val="Tahoma"/>
      <family val="2"/>
      <charset val="238"/>
    </font>
    <font>
      <b/>
      <sz val="8"/>
      <color indexed="81"/>
      <name val="Tahoma"/>
      <family val="2"/>
      <charset val="238"/>
    </font>
    <font>
      <b/>
      <sz val="10"/>
      <name val="Arial"/>
      <family val="2"/>
    </font>
    <font>
      <sz val="10"/>
      <name val="Arial"/>
      <family val="2"/>
    </font>
    <font>
      <sz val="10"/>
      <color indexed="8"/>
      <name val="Arial"/>
      <family val="2"/>
      <charset val="238"/>
    </font>
    <font>
      <sz val="10"/>
      <name val="Arial CE"/>
      <charset val="238"/>
    </font>
    <font>
      <b/>
      <sz val="11"/>
      <name val="Arial"/>
      <family val="2"/>
      <charset val="238"/>
    </font>
    <font>
      <b/>
      <sz val="16"/>
      <name val="Arial CE"/>
      <family val="2"/>
      <charset val="238"/>
    </font>
    <font>
      <b/>
      <sz val="14"/>
      <color theme="1"/>
      <name val="Arial"/>
      <family val="2"/>
      <charset val="238"/>
    </font>
    <font>
      <sz val="11"/>
      <name val="Arial CE"/>
      <family val="2"/>
      <charset val="238"/>
    </font>
    <font>
      <b/>
      <i/>
      <sz val="12"/>
      <name val="Arial CE"/>
      <family val="2"/>
      <charset val="238"/>
    </font>
    <font>
      <b/>
      <u/>
      <sz val="14"/>
      <name val="Arial"/>
      <family val="2"/>
      <charset val="238"/>
    </font>
    <font>
      <b/>
      <sz val="22"/>
      <name val="Arial"/>
      <family val="2"/>
      <charset val="238"/>
    </font>
    <font>
      <sz val="11"/>
      <name val="Arial"/>
      <family val="2"/>
      <charset val="238"/>
    </font>
    <font>
      <sz val="16"/>
      <name val="Arial"/>
      <family val="2"/>
      <charset val="238"/>
    </font>
    <font>
      <sz val="11"/>
      <color indexed="8"/>
      <name val="Calibri"/>
      <family val="2"/>
      <charset val="238"/>
    </font>
    <font>
      <b/>
      <sz val="12"/>
      <color theme="1"/>
      <name val="Arial"/>
      <family val="2"/>
      <charset val="238"/>
    </font>
    <font>
      <b/>
      <sz val="16"/>
      <color indexed="8"/>
      <name val="Arial"/>
      <family val="2"/>
      <charset val="238"/>
    </font>
    <font>
      <sz val="12"/>
      <color indexed="8"/>
      <name val="Arial"/>
      <family val="2"/>
      <charset val="238"/>
    </font>
    <font>
      <sz val="11"/>
      <color indexed="8"/>
      <name val="Arial"/>
      <family val="2"/>
      <charset val="238"/>
    </font>
    <font>
      <b/>
      <sz val="18"/>
      <name val="Arial"/>
      <family val="2"/>
      <charset val="238"/>
    </font>
    <font>
      <b/>
      <sz val="12"/>
      <color indexed="8"/>
      <name val="Arial"/>
      <family val="2"/>
      <charset val="238"/>
    </font>
    <font>
      <b/>
      <sz val="11"/>
      <color indexed="8"/>
      <name val="Calibri"/>
      <family val="2"/>
      <charset val="238"/>
    </font>
    <font>
      <b/>
      <sz val="12"/>
      <color indexed="8"/>
      <name val="Calibri"/>
      <family val="2"/>
      <charset val="238"/>
    </font>
    <font>
      <sz val="12"/>
      <color theme="1"/>
      <name val="Times New Roman"/>
      <family val="2"/>
      <charset val="238"/>
    </font>
    <font>
      <sz val="14"/>
      <color indexed="8"/>
      <name val="Calibri"/>
      <family val="2"/>
      <charset val="238"/>
    </font>
    <font>
      <b/>
      <i/>
      <sz val="12"/>
      <name val="Arial"/>
      <family val="2"/>
      <charset val="238"/>
    </font>
    <font>
      <b/>
      <sz val="9"/>
      <name val="Arial CE"/>
      <charset val="238"/>
    </font>
    <font>
      <b/>
      <sz val="8"/>
      <name val="Arial"/>
      <family val="2"/>
      <charset val="238"/>
    </font>
    <font>
      <b/>
      <i/>
      <sz val="8"/>
      <name val="Arial"/>
      <family val="2"/>
      <charset val="238"/>
    </font>
    <font>
      <b/>
      <i/>
      <sz val="10"/>
      <name val="Arial"/>
      <family val="2"/>
      <charset val="238"/>
    </font>
    <font>
      <sz val="8"/>
      <name val="Arial"/>
      <family val="2"/>
      <charset val="238"/>
    </font>
    <font>
      <b/>
      <sz val="8"/>
      <name val="Arial CE"/>
      <family val="2"/>
      <charset val="238"/>
    </font>
    <font>
      <sz val="9"/>
      <name val="Arial"/>
      <family val="2"/>
      <charset val="238"/>
    </font>
    <font>
      <b/>
      <i/>
      <sz val="9"/>
      <color rgb="FFFF0000"/>
      <name val="Arial CE"/>
      <family val="2"/>
      <charset val="238"/>
    </font>
    <font>
      <b/>
      <sz val="14"/>
      <color indexed="8"/>
      <name val="Calibri"/>
      <family val="2"/>
      <charset val="238"/>
    </font>
    <font>
      <b/>
      <sz val="11"/>
      <name val="Calibri"/>
      <family val="2"/>
      <charset val="238"/>
    </font>
    <font>
      <b/>
      <i/>
      <sz val="8"/>
      <name val="Times New Roman"/>
      <family val="1"/>
      <charset val="238"/>
    </font>
    <font>
      <i/>
      <sz val="8"/>
      <name val="Times New Roman"/>
      <family val="1"/>
      <charset val="238"/>
    </font>
    <font>
      <b/>
      <sz val="12"/>
      <name val="Calibri"/>
      <family val="2"/>
      <charset val="238"/>
    </font>
    <font>
      <b/>
      <sz val="14"/>
      <name val="Calibri"/>
      <family val="2"/>
      <charset val="238"/>
    </font>
    <font>
      <sz val="9"/>
      <color indexed="81"/>
      <name val="Segoe UI"/>
      <family val="2"/>
      <charset val="238"/>
    </font>
    <font>
      <b/>
      <sz val="9"/>
      <color indexed="81"/>
      <name val="Segoe UI"/>
      <family val="2"/>
      <charset val="238"/>
    </font>
    <font>
      <b/>
      <sz val="10"/>
      <color indexed="8"/>
      <name val="Arial"/>
      <family val="2"/>
      <charset val="238"/>
    </font>
    <font>
      <b/>
      <sz val="14"/>
      <color indexed="8"/>
      <name val="Arial"/>
      <family val="2"/>
      <charset val="238"/>
    </font>
    <font>
      <sz val="10"/>
      <color rgb="FFFF0000"/>
      <name val="Arial"/>
      <family val="2"/>
      <charset val="238"/>
    </font>
    <font>
      <sz val="11"/>
      <color rgb="FFFF0000"/>
      <name val="Calibri"/>
      <family val="2"/>
      <charset val="238"/>
    </font>
    <font>
      <sz val="9"/>
      <color indexed="81"/>
      <name val="Segoe UI"/>
      <charset val="1"/>
    </font>
    <font>
      <b/>
      <sz val="9"/>
      <color indexed="81"/>
      <name val="Segoe UI"/>
      <charset val="1"/>
    </font>
    <font>
      <b/>
      <sz val="16"/>
      <name val="Arial"/>
      <family val="2"/>
      <charset val="238"/>
    </font>
  </fonts>
  <fills count="16">
    <fill>
      <patternFill patternType="none"/>
    </fill>
    <fill>
      <patternFill patternType="gray125"/>
    </fill>
    <fill>
      <patternFill patternType="solid">
        <fgColor indexed="53"/>
        <bgColor indexed="52"/>
      </patternFill>
    </fill>
    <fill>
      <patternFill patternType="solid">
        <fgColor indexed="13"/>
        <bgColor indexed="34"/>
      </patternFill>
    </fill>
    <fill>
      <patternFill patternType="solid">
        <fgColor indexed="50"/>
        <bgColor indexed="51"/>
      </patternFill>
    </fill>
    <fill>
      <patternFill patternType="solid">
        <fgColor indexed="20"/>
        <bgColor indexed="36"/>
      </patternFill>
    </fill>
    <fill>
      <patternFill patternType="solid">
        <fgColor indexed="9"/>
        <bgColor indexed="26"/>
      </patternFill>
    </fill>
    <fill>
      <patternFill patternType="solid">
        <fgColor indexed="57"/>
        <bgColor indexed="26"/>
      </patternFill>
    </fill>
    <fill>
      <patternFill patternType="solid">
        <fgColor indexed="36"/>
        <bgColor indexed="26"/>
      </patternFill>
    </fill>
    <fill>
      <patternFill patternType="solid">
        <fgColor indexed="53"/>
        <bgColor indexed="26"/>
      </patternFill>
    </fill>
    <fill>
      <patternFill patternType="solid">
        <fgColor indexed="13"/>
        <bgColor indexed="26"/>
      </patternFill>
    </fill>
    <fill>
      <patternFill patternType="solid">
        <fgColor indexed="53"/>
        <bgColor indexed="64"/>
      </patternFill>
    </fill>
    <fill>
      <patternFill patternType="solid">
        <fgColor indexed="13"/>
        <bgColor indexed="64"/>
      </patternFill>
    </fill>
    <fill>
      <patternFill patternType="solid">
        <fgColor indexed="9"/>
        <bgColor indexed="64"/>
      </patternFill>
    </fill>
    <fill>
      <patternFill patternType="solid">
        <fgColor indexed="44"/>
        <bgColor indexed="26"/>
      </patternFill>
    </fill>
    <fill>
      <patternFill patternType="solid">
        <fgColor theme="0" tint="-0.249977111117893"/>
        <bgColor indexed="64"/>
      </patternFill>
    </fill>
  </fills>
  <borders count="204">
    <border>
      <left/>
      <right/>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diagonal/>
    </border>
    <border>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style="thin">
        <color indexed="8"/>
      </right>
      <top/>
      <bottom/>
      <diagonal/>
    </border>
    <border>
      <left style="thin">
        <color indexed="8"/>
      </left>
      <right style="thin">
        <color indexed="8"/>
      </right>
      <top/>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right style="thin">
        <color indexed="8"/>
      </right>
      <top style="thin">
        <color indexed="8"/>
      </top>
      <bottom style="medium">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medium">
        <color indexed="8"/>
      </left>
      <right/>
      <top style="medium">
        <color indexed="8"/>
      </top>
      <bottom style="thin">
        <color indexed="8"/>
      </bottom>
      <diagonal/>
    </border>
    <border>
      <left style="medium">
        <color indexed="8"/>
      </left>
      <right/>
      <top/>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8"/>
      </left>
      <right style="medium">
        <color indexed="64"/>
      </right>
      <top/>
      <bottom/>
      <diagonal/>
    </border>
    <border>
      <left/>
      <right style="medium">
        <color indexed="64"/>
      </right>
      <top/>
      <bottom style="medium">
        <color indexed="8"/>
      </bottom>
      <diagonal/>
    </border>
    <border>
      <left/>
      <right style="medium">
        <color indexed="64"/>
      </right>
      <top/>
      <bottom/>
      <diagonal/>
    </border>
    <border>
      <left/>
      <right style="medium">
        <color indexed="64"/>
      </right>
      <top style="medium">
        <color indexed="64"/>
      </top>
      <bottom/>
      <diagonal/>
    </border>
    <border>
      <left style="medium">
        <color indexed="8"/>
      </left>
      <right style="medium">
        <color indexed="8"/>
      </right>
      <top style="medium">
        <color indexed="8"/>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medium">
        <color indexed="8"/>
      </bottom>
      <diagonal/>
    </border>
    <border>
      <left style="medium">
        <color indexed="64"/>
      </left>
      <right/>
      <top style="medium">
        <color indexed="8"/>
      </top>
      <bottom style="thin">
        <color indexed="8"/>
      </bottom>
      <diagonal/>
    </border>
    <border>
      <left style="thin">
        <color indexed="8"/>
      </left>
      <right style="medium">
        <color indexed="64"/>
      </right>
      <top/>
      <bottom style="medium">
        <color indexed="8"/>
      </bottom>
      <diagonal/>
    </border>
    <border>
      <left style="medium">
        <color indexed="64"/>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8"/>
      </left>
      <right style="medium">
        <color indexed="8"/>
      </right>
      <top style="medium">
        <color indexed="64"/>
      </top>
      <bottom style="thin">
        <color indexed="8"/>
      </bottom>
      <diagonal/>
    </border>
    <border>
      <left style="medium">
        <color indexed="8"/>
      </left>
      <right style="medium">
        <color indexed="8"/>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8"/>
      </top>
      <bottom style="thin">
        <color indexed="8"/>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8"/>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8"/>
      </top>
      <bottom style="medium">
        <color indexed="8"/>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8"/>
      </right>
      <top style="thin">
        <color indexed="8"/>
      </top>
      <bottom style="thin">
        <color indexed="64"/>
      </bottom>
      <diagonal/>
    </border>
    <border>
      <left style="thin">
        <color indexed="8"/>
      </left>
      <right style="medium">
        <color indexed="64"/>
      </right>
      <top/>
      <bottom style="thin">
        <color indexed="64"/>
      </bottom>
      <diagonal/>
    </border>
    <border>
      <left/>
      <right/>
      <top style="medium">
        <color indexed="64"/>
      </top>
      <bottom style="thin">
        <color indexed="8"/>
      </bottom>
      <diagonal/>
    </border>
    <border>
      <left/>
      <right/>
      <top style="thin">
        <color indexed="8"/>
      </top>
      <bottom style="thin">
        <color indexed="8"/>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8"/>
      </top>
      <bottom style="medium">
        <color indexed="64"/>
      </bottom>
      <diagonal/>
    </border>
    <border>
      <left style="medium">
        <color indexed="64"/>
      </left>
      <right/>
      <top/>
      <bottom style="thin">
        <color indexed="64"/>
      </bottom>
      <diagonal/>
    </border>
    <border>
      <left/>
      <right style="medium">
        <color indexed="8"/>
      </right>
      <top style="medium">
        <color indexed="64"/>
      </top>
      <bottom style="medium">
        <color indexed="64"/>
      </bottom>
      <diagonal/>
    </border>
    <border>
      <left/>
      <right style="medium">
        <color indexed="8"/>
      </right>
      <top style="medium">
        <color indexed="64"/>
      </top>
      <bottom style="thin">
        <color indexed="8"/>
      </bottom>
      <diagonal/>
    </border>
    <border>
      <left/>
      <right style="medium">
        <color indexed="8"/>
      </right>
      <top style="medium">
        <color indexed="8"/>
      </top>
      <bottom style="medium">
        <color indexed="64"/>
      </bottom>
      <diagonal/>
    </border>
    <border>
      <left/>
      <right/>
      <top style="thin">
        <color indexed="64"/>
      </top>
      <bottom style="medium">
        <color indexed="64"/>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style="thin">
        <color indexed="8"/>
      </bottom>
      <diagonal/>
    </border>
    <border>
      <left style="medium">
        <color indexed="8"/>
      </left>
      <right/>
      <top style="thin">
        <color indexed="8"/>
      </top>
      <bottom style="medium">
        <color indexed="64"/>
      </bottom>
      <diagonal/>
    </border>
    <border>
      <left/>
      <right/>
      <top style="thin">
        <color indexed="8"/>
      </top>
      <bottom style="medium">
        <color indexed="64"/>
      </bottom>
      <diagonal/>
    </border>
    <border>
      <left/>
      <right style="medium">
        <color indexed="8"/>
      </right>
      <top style="thin">
        <color indexed="8"/>
      </top>
      <bottom style="medium">
        <color indexed="64"/>
      </bottom>
      <diagonal/>
    </border>
    <border>
      <left style="medium">
        <color indexed="64"/>
      </left>
      <right/>
      <top style="medium">
        <color indexed="64"/>
      </top>
      <bottom style="thin">
        <color indexed="8"/>
      </bottom>
      <diagonal/>
    </border>
    <border>
      <left style="medium">
        <color indexed="64"/>
      </left>
      <right/>
      <top style="thin">
        <color indexed="8"/>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medium">
        <color indexed="8"/>
      </top>
      <bottom/>
      <diagonal/>
    </border>
    <border>
      <left style="medium">
        <color indexed="64"/>
      </left>
      <right style="medium">
        <color indexed="64"/>
      </right>
      <top style="medium">
        <color indexed="8"/>
      </top>
      <bottom style="medium">
        <color indexed="64"/>
      </bottom>
      <diagonal/>
    </border>
    <border>
      <left style="medium">
        <color indexed="64"/>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64"/>
      </right>
      <top/>
      <bottom style="medium">
        <color indexed="8"/>
      </bottom>
      <diagonal/>
    </border>
    <border>
      <left/>
      <right style="thin">
        <color indexed="64"/>
      </right>
      <top/>
      <bottom style="medium">
        <color indexed="8"/>
      </bottom>
      <diagonal/>
    </border>
    <border>
      <left style="thin">
        <color indexed="64"/>
      </left>
      <right style="thin">
        <color indexed="64"/>
      </right>
      <top style="medium">
        <color indexed="8"/>
      </top>
      <bottom style="medium">
        <color indexed="64"/>
      </bottom>
      <diagonal/>
    </border>
    <border>
      <left/>
      <right style="medium">
        <color indexed="64"/>
      </right>
      <top style="medium">
        <color indexed="64"/>
      </top>
      <bottom style="medium">
        <color indexed="8"/>
      </bottom>
      <diagonal/>
    </border>
    <border>
      <left/>
      <right style="medium">
        <color indexed="64"/>
      </right>
      <top style="medium">
        <color indexed="8"/>
      </top>
      <bottom style="medium">
        <color indexed="8"/>
      </bottom>
      <diagonal/>
    </border>
    <border>
      <left/>
      <right style="medium">
        <color indexed="64"/>
      </right>
      <top style="medium">
        <color indexed="8"/>
      </top>
      <bottom style="thin">
        <color indexed="8"/>
      </bottom>
      <diagonal/>
    </border>
    <border>
      <left/>
      <right style="medium">
        <color indexed="64"/>
      </right>
      <top style="medium">
        <color indexed="8"/>
      </top>
      <bottom/>
      <diagonal/>
    </border>
    <border>
      <left style="medium">
        <color indexed="64"/>
      </left>
      <right style="medium">
        <color indexed="64"/>
      </right>
      <top/>
      <bottom style="thin">
        <color indexed="8"/>
      </bottom>
      <diagonal/>
    </border>
    <border>
      <left style="medium">
        <color indexed="64"/>
      </left>
      <right style="medium">
        <color indexed="64"/>
      </right>
      <top/>
      <bottom style="medium">
        <color indexed="8"/>
      </bottom>
      <diagonal/>
    </border>
    <border>
      <left style="medium">
        <color indexed="8"/>
      </left>
      <right style="medium">
        <color indexed="8"/>
      </right>
      <top/>
      <bottom style="thin">
        <color indexed="64"/>
      </bottom>
      <diagonal/>
    </border>
  </borders>
  <cellStyleXfs count="7">
    <xf numFmtId="0" fontId="0" fillId="0" borderId="0"/>
    <xf numFmtId="0" fontId="1" fillId="0" borderId="0"/>
    <xf numFmtId="0" fontId="53" fillId="0" borderId="0"/>
    <xf numFmtId="0" fontId="1" fillId="0" borderId="0"/>
    <xf numFmtId="0" fontId="1" fillId="0" borderId="0"/>
    <xf numFmtId="0" fontId="1" fillId="0" borderId="0"/>
    <xf numFmtId="0" fontId="62" fillId="0" borderId="0"/>
  </cellStyleXfs>
  <cellXfs count="916">
    <xf numFmtId="0" fontId="0" fillId="0" borderId="0" xfId="0"/>
    <xf numFmtId="3" fontId="0" fillId="0" borderId="0" xfId="0" applyNumberFormat="1"/>
    <xf numFmtId="0" fontId="0" fillId="0" borderId="1" xfId="0" applyBorder="1" applyAlignment="1">
      <alignment horizontal="center"/>
    </xf>
    <xf numFmtId="3" fontId="3" fillId="0" borderId="2" xfId="0" applyNumberFormat="1" applyFont="1" applyBorder="1" applyAlignment="1">
      <alignment horizontal="center"/>
    </xf>
    <xf numFmtId="3" fontId="3" fillId="0" borderId="1" xfId="0" applyNumberFormat="1" applyFont="1" applyBorder="1" applyAlignment="1">
      <alignment horizontal="center"/>
    </xf>
    <xf numFmtId="0" fontId="2" fillId="2" borderId="1" xfId="0" applyFont="1" applyFill="1" applyBorder="1"/>
    <xf numFmtId="3" fontId="2" fillId="2" borderId="1" xfId="0" applyNumberFormat="1" applyFont="1" applyFill="1" applyBorder="1" applyAlignment="1">
      <alignment horizontal="right"/>
    </xf>
    <xf numFmtId="3" fontId="2" fillId="2" borderId="2" xfId="0" applyNumberFormat="1" applyFont="1" applyFill="1" applyBorder="1" applyAlignment="1">
      <alignment horizontal="right"/>
    </xf>
    <xf numFmtId="0" fontId="4" fillId="3" borderId="3" xfId="0" applyFont="1" applyFill="1" applyBorder="1"/>
    <xf numFmtId="3" fontId="5" fillId="3" borderId="3" xfId="0" applyNumberFormat="1" applyFont="1" applyFill="1" applyBorder="1" applyAlignment="1">
      <alignment horizontal="right"/>
    </xf>
    <xf numFmtId="3" fontId="5" fillId="3" borderId="4" xfId="0" applyNumberFormat="1" applyFont="1" applyFill="1" applyBorder="1" applyAlignment="1">
      <alignment horizontal="right"/>
    </xf>
    <xf numFmtId="0" fontId="6" fillId="0" borderId="5" xfId="0" applyFont="1" applyBorder="1"/>
    <xf numFmtId="3" fontId="7" fillId="0" borderId="5" xfId="0" applyNumberFormat="1" applyFont="1" applyBorder="1"/>
    <xf numFmtId="3" fontId="7" fillId="0" borderId="6" xfId="0" applyNumberFormat="1" applyFont="1" applyBorder="1"/>
    <xf numFmtId="0" fontId="0" fillId="0" borderId="5" xfId="0" applyBorder="1"/>
    <xf numFmtId="3" fontId="0" fillId="0" borderId="7" xfId="0" applyNumberFormat="1" applyBorder="1"/>
    <xf numFmtId="0" fontId="6" fillId="0" borderId="8" xfId="0" applyFont="1" applyBorder="1"/>
    <xf numFmtId="3" fontId="7" fillId="0" borderId="8" xfId="0" applyNumberFormat="1" applyFont="1" applyBorder="1"/>
    <xf numFmtId="0" fontId="0" fillId="0" borderId="7" xfId="0" applyBorder="1"/>
    <xf numFmtId="3" fontId="0" fillId="0" borderId="5" xfId="0" applyNumberFormat="1" applyBorder="1"/>
    <xf numFmtId="0" fontId="11" fillId="0" borderId="5" xfId="0" applyFont="1" applyBorder="1"/>
    <xf numFmtId="3" fontId="0" fillId="0" borderId="6" xfId="0" applyNumberFormat="1" applyBorder="1"/>
    <xf numFmtId="3" fontId="0" fillId="0" borderId="9" xfId="0" applyNumberFormat="1" applyBorder="1"/>
    <xf numFmtId="3" fontId="13" fillId="0" borderId="5" xfId="0" applyNumberFormat="1" applyFont="1" applyBorder="1"/>
    <xf numFmtId="0" fontId="4" fillId="3" borderId="10" xfId="0" applyFont="1" applyFill="1" applyBorder="1"/>
    <xf numFmtId="3" fontId="5" fillId="3" borderId="10" xfId="0" applyNumberFormat="1" applyFont="1" applyFill="1" applyBorder="1" applyAlignment="1">
      <alignment horizontal="right"/>
    </xf>
    <xf numFmtId="3" fontId="5" fillId="3" borderId="11" xfId="0" applyNumberFormat="1" applyFont="1" applyFill="1" applyBorder="1" applyAlignment="1">
      <alignment horizontal="right"/>
    </xf>
    <xf numFmtId="4" fontId="0" fillId="0" borderId="5" xfId="0" applyNumberFormat="1" applyBorder="1"/>
    <xf numFmtId="3" fontId="13" fillId="0" borderId="7" xfId="0" applyNumberFormat="1" applyFont="1" applyBorder="1"/>
    <xf numFmtId="3" fontId="0" fillId="4" borderId="5" xfId="0" applyNumberFormat="1" applyFill="1" applyBorder="1"/>
    <xf numFmtId="0" fontId="0" fillId="0" borderId="5" xfId="0" applyBorder="1" applyAlignment="1">
      <alignment horizontal="left"/>
    </xf>
    <xf numFmtId="0" fontId="6" fillId="0" borderId="8" xfId="0" applyFont="1" applyBorder="1" applyAlignment="1">
      <alignment horizontal="left"/>
    </xf>
    <xf numFmtId="3" fontId="7" fillId="0" borderId="12" xfId="0" applyNumberFormat="1" applyFont="1" applyBorder="1"/>
    <xf numFmtId="4" fontId="0" fillId="4" borderId="5" xfId="0" applyNumberFormat="1" applyFill="1" applyBorder="1"/>
    <xf numFmtId="3" fontId="1" fillId="0" borderId="5" xfId="0" applyNumberFormat="1" applyFont="1" applyBorder="1"/>
    <xf numFmtId="3" fontId="0" fillId="0" borderId="6" xfId="0" applyNumberFormat="1" applyBorder="1" applyAlignment="1">
      <alignment horizontal="right"/>
    </xf>
    <xf numFmtId="0" fontId="0" fillId="0" borderId="13" xfId="0" applyBorder="1" applyAlignment="1">
      <alignment horizontal="left"/>
    </xf>
    <xf numFmtId="3" fontId="0" fillId="0" borderId="14" xfId="0" applyNumberFormat="1" applyBorder="1"/>
    <xf numFmtId="3" fontId="0" fillId="0" borderId="13" xfId="0" applyNumberFormat="1" applyBorder="1"/>
    <xf numFmtId="3" fontId="4" fillId="3" borderId="3" xfId="0" applyNumberFormat="1" applyFont="1" applyFill="1" applyBorder="1"/>
    <xf numFmtId="0" fontId="0" fillId="0" borderId="7" xfId="0" applyBorder="1" applyAlignment="1">
      <alignment horizontal="left"/>
    </xf>
    <xf numFmtId="3" fontId="4" fillId="3" borderId="10" xfId="0" applyNumberFormat="1" applyFont="1" applyFill="1" applyBorder="1" applyAlignment="1">
      <alignment horizontal="left"/>
    </xf>
    <xf numFmtId="3" fontId="5" fillId="3" borderId="9" xfId="0" applyNumberFormat="1" applyFont="1" applyFill="1" applyBorder="1" applyAlignment="1">
      <alignment horizontal="right"/>
    </xf>
    <xf numFmtId="3" fontId="1" fillId="0" borderId="13" xfId="0" applyNumberFormat="1" applyFont="1" applyBorder="1"/>
    <xf numFmtId="0" fontId="14" fillId="2" borderId="1" xfId="0" applyFont="1" applyFill="1" applyBorder="1" applyAlignment="1">
      <alignment horizontal="left"/>
    </xf>
    <xf numFmtId="3" fontId="14" fillId="2" borderId="1" xfId="0" applyNumberFormat="1" applyFont="1" applyFill="1" applyBorder="1" applyAlignment="1">
      <alignment horizontal="right"/>
    </xf>
    <xf numFmtId="0" fontId="2" fillId="5" borderId="1" xfId="0" applyFont="1" applyFill="1" applyBorder="1" applyAlignment="1">
      <alignment horizontal="left"/>
    </xf>
    <xf numFmtId="3" fontId="2" fillId="5" borderId="1" xfId="0" applyNumberFormat="1" applyFont="1" applyFill="1" applyBorder="1" applyAlignment="1">
      <alignment horizontal="right"/>
    </xf>
    <xf numFmtId="3" fontId="2" fillId="5" borderId="2" xfId="0" applyNumberFormat="1" applyFont="1" applyFill="1" applyBorder="1" applyAlignment="1">
      <alignment horizontal="right"/>
    </xf>
    <xf numFmtId="0" fontId="15" fillId="0" borderId="0" xfId="0" applyFont="1" applyAlignment="1">
      <alignment horizontal="left"/>
    </xf>
    <xf numFmtId="0" fontId="1" fillId="6" borderId="0" xfId="1" applyFill="1"/>
    <xf numFmtId="0" fontId="16" fillId="6" borderId="0" xfId="1" applyFont="1" applyFill="1"/>
    <xf numFmtId="3" fontId="16" fillId="6" borderId="0" xfId="1" applyNumberFormat="1" applyFont="1" applyFill="1"/>
    <xf numFmtId="3" fontId="1" fillId="6" borderId="0" xfId="1" applyNumberFormat="1" applyFill="1"/>
    <xf numFmtId="0" fontId="17" fillId="6" borderId="0" xfId="1" applyFont="1" applyFill="1"/>
    <xf numFmtId="3" fontId="14" fillId="6" borderId="0" xfId="1" applyNumberFormat="1" applyFont="1" applyFill="1"/>
    <xf numFmtId="0" fontId="18" fillId="6" borderId="0" xfId="1" applyFont="1" applyFill="1"/>
    <xf numFmtId="0" fontId="19" fillId="6" borderId="0" xfId="1" applyFont="1" applyFill="1"/>
    <xf numFmtId="3" fontId="18" fillId="6" borderId="0" xfId="1" applyNumberFormat="1" applyFont="1" applyFill="1"/>
    <xf numFmtId="3" fontId="19" fillId="6" borderId="0" xfId="1" applyNumberFormat="1" applyFont="1" applyFill="1"/>
    <xf numFmtId="3" fontId="1" fillId="6" borderId="0" xfId="1" applyNumberFormat="1" applyFill="1" applyAlignment="1">
      <alignment horizontal="center"/>
    </xf>
    <xf numFmtId="0" fontId="11" fillId="6" borderId="0" xfId="1" applyFont="1" applyFill="1"/>
    <xf numFmtId="0" fontId="20" fillId="6" borderId="0" xfId="1" applyFont="1" applyFill="1"/>
    <xf numFmtId="0" fontId="7" fillId="6" borderId="0" xfId="1" applyFont="1" applyFill="1"/>
    <xf numFmtId="0" fontId="11" fillId="6" borderId="15" xfId="1" applyFont="1" applyFill="1" applyBorder="1"/>
    <xf numFmtId="0" fontId="11" fillId="6" borderId="16" xfId="1" applyFont="1" applyFill="1" applyBorder="1"/>
    <xf numFmtId="3" fontId="11" fillId="6" borderId="16" xfId="1" applyNumberFormat="1" applyFont="1" applyFill="1" applyBorder="1"/>
    <xf numFmtId="0" fontId="1" fillId="6" borderId="16" xfId="1" applyFill="1" applyBorder="1"/>
    <xf numFmtId="3" fontId="11" fillId="6" borderId="16" xfId="1" applyNumberFormat="1" applyFont="1" applyFill="1" applyBorder="1" applyAlignment="1">
      <alignment horizontal="right"/>
    </xf>
    <xf numFmtId="3" fontId="1" fillId="6" borderId="16" xfId="1" applyNumberFormat="1" applyFill="1" applyBorder="1"/>
    <xf numFmtId="0" fontId="23" fillId="6" borderId="17" xfId="1" applyFont="1" applyFill="1" applyBorder="1" applyAlignment="1">
      <alignment horizontal="left"/>
    </xf>
    <xf numFmtId="0" fontId="24" fillId="6" borderId="18" xfId="1" applyFont="1" applyFill="1" applyBorder="1"/>
    <xf numFmtId="3" fontId="1" fillId="6" borderId="17" xfId="1" applyNumberFormat="1" applyFill="1" applyBorder="1"/>
    <xf numFmtId="3" fontId="1" fillId="6" borderId="19" xfId="1" applyNumberFormat="1" applyFill="1" applyBorder="1"/>
    <xf numFmtId="3" fontId="1" fillId="6" borderId="18" xfId="1" applyNumberFormat="1" applyFill="1" applyBorder="1"/>
    <xf numFmtId="3" fontId="1" fillId="6" borderId="20" xfId="1" applyNumberFormat="1" applyFill="1" applyBorder="1"/>
    <xf numFmtId="3" fontId="1" fillId="6" borderId="21" xfId="1" applyNumberFormat="1" applyFill="1" applyBorder="1"/>
    <xf numFmtId="0" fontId="25" fillId="6" borderId="0" xfId="1" applyFont="1" applyFill="1"/>
    <xf numFmtId="0" fontId="23" fillId="6" borderId="22" xfId="1" applyFont="1" applyFill="1" applyBorder="1" applyAlignment="1">
      <alignment horizontal="left"/>
    </xf>
    <xf numFmtId="3" fontId="1" fillId="6" borderId="22" xfId="1" applyNumberFormat="1" applyFill="1" applyBorder="1"/>
    <xf numFmtId="3" fontId="1" fillId="6" borderId="23" xfId="1" applyNumberFormat="1" applyFill="1" applyBorder="1"/>
    <xf numFmtId="3" fontId="1" fillId="6" borderId="24" xfId="1" applyNumberFormat="1" applyFill="1" applyBorder="1"/>
    <xf numFmtId="3" fontId="1" fillId="6" borderId="25" xfId="1" applyNumberFormat="1" applyFill="1" applyBorder="1"/>
    <xf numFmtId="3" fontId="1" fillId="6" borderId="26" xfId="1" applyNumberFormat="1" applyFill="1" applyBorder="1"/>
    <xf numFmtId="0" fontId="24" fillId="6" borderId="20" xfId="1" applyFont="1" applyFill="1" applyBorder="1"/>
    <xf numFmtId="3" fontId="11" fillId="6" borderId="0" xfId="1" applyNumberFormat="1" applyFont="1" applyFill="1" applyAlignment="1">
      <alignment horizontal="right"/>
    </xf>
    <xf numFmtId="0" fontId="24" fillId="6" borderId="6" xfId="1" applyFont="1" applyFill="1" applyBorder="1"/>
    <xf numFmtId="0" fontId="24" fillId="6" borderId="27" xfId="1" applyFont="1" applyFill="1" applyBorder="1"/>
    <xf numFmtId="3" fontId="1" fillId="6" borderId="28" xfId="1" applyNumberFormat="1" applyFill="1" applyBorder="1"/>
    <xf numFmtId="3" fontId="1" fillId="6" borderId="29" xfId="1" applyNumberFormat="1" applyFill="1" applyBorder="1"/>
    <xf numFmtId="3" fontId="1" fillId="6" borderId="27" xfId="1" applyNumberFormat="1" applyFill="1" applyBorder="1"/>
    <xf numFmtId="0" fontId="6" fillId="6" borderId="0" xfId="1" applyFont="1" applyFill="1"/>
    <xf numFmtId="0" fontId="26" fillId="6" borderId="20" xfId="1" applyFont="1" applyFill="1" applyBorder="1"/>
    <xf numFmtId="3" fontId="6" fillId="6" borderId="0" xfId="1" applyNumberFormat="1" applyFont="1" applyFill="1" applyAlignment="1">
      <alignment horizontal="right"/>
    </xf>
    <xf numFmtId="0" fontId="27" fillId="6" borderId="20" xfId="1" applyFont="1" applyFill="1" applyBorder="1"/>
    <xf numFmtId="0" fontId="28" fillId="6" borderId="27" xfId="1" applyFont="1" applyFill="1" applyBorder="1"/>
    <xf numFmtId="3" fontId="1" fillId="6" borderId="30" xfId="1" applyNumberFormat="1" applyFill="1" applyBorder="1"/>
    <xf numFmtId="0" fontId="1" fillId="6" borderId="17" xfId="1" applyFill="1" applyBorder="1"/>
    <xf numFmtId="0" fontId="1" fillId="6" borderId="20" xfId="1" applyFill="1" applyBorder="1"/>
    <xf numFmtId="0" fontId="1" fillId="6" borderId="22" xfId="1" applyFill="1" applyBorder="1"/>
    <xf numFmtId="0" fontId="1" fillId="6" borderId="27" xfId="1" applyFill="1" applyBorder="1"/>
    <xf numFmtId="0" fontId="1" fillId="0" borderId="0" xfId="1"/>
    <xf numFmtId="3" fontId="1" fillId="0" borderId="0" xfId="1" applyNumberFormat="1"/>
    <xf numFmtId="0" fontId="6" fillId="0" borderId="3" xfId="1" applyFont="1" applyBorder="1"/>
    <xf numFmtId="3" fontId="7" fillId="0" borderId="3" xfId="1" applyNumberFormat="1" applyFont="1" applyBorder="1" applyAlignment="1">
      <alignment horizontal="center"/>
    </xf>
    <xf numFmtId="0" fontId="2" fillId="0" borderId="10" xfId="1" applyFont="1" applyBorder="1"/>
    <xf numFmtId="3" fontId="33" fillId="0" borderId="10" xfId="1" applyNumberFormat="1" applyFont="1" applyBorder="1"/>
    <xf numFmtId="3" fontId="34" fillId="0" borderId="10" xfId="1" applyNumberFormat="1" applyFont="1" applyBorder="1"/>
    <xf numFmtId="0" fontId="2" fillId="0" borderId="31" xfId="1" applyFont="1" applyBorder="1"/>
    <xf numFmtId="3" fontId="33" fillId="0" borderId="31" xfId="1" applyNumberFormat="1" applyFont="1" applyBorder="1"/>
    <xf numFmtId="3" fontId="34" fillId="0" borderId="31" xfId="1" applyNumberFormat="1" applyFont="1" applyBorder="1"/>
    <xf numFmtId="0" fontId="6" fillId="0" borderId="0" xfId="1" applyFont="1"/>
    <xf numFmtId="0" fontId="35" fillId="0" borderId="3" xfId="1" applyFont="1" applyBorder="1"/>
    <xf numFmtId="3" fontId="36" fillId="0" borderId="3" xfId="1" applyNumberFormat="1" applyFont="1" applyBorder="1"/>
    <xf numFmtId="3" fontId="37" fillId="0" borderId="3" xfId="1" applyNumberFormat="1" applyFont="1" applyBorder="1"/>
    <xf numFmtId="0" fontId="35" fillId="0" borderId="10" xfId="1" applyFont="1" applyBorder="1"/>
    <xf numFmtId="3" fontId="36" fillId="0" borderId="10" xfId="1" applyNumberFormat="1" applyFont="1" applyBorder="1"/>
    <xf numFmtId="3" fontId="37" fillId="0" borderId="10" xfId="1" applyNumberFormat="1" applyFont="1" applyBorder="1"/>
    <xf numFmtId="0" fontId="35" fillId="0" borderId="31" xfId="1" applyFont="1" applyBorder="1"/>
    <xf numFmtId="3" fontId="36" fillId="0" borderId="31" xfId="1" applyNumberFormat="1" applyFont="1" applyBorder="1"/>
    <xf numFmtId="3" fontId="37" fillId="0" borderId="31" xfId="1" applyNumberFormat="1" applyFont="1" applyBorder="1"/>
    <xf numFmtId="0" fontId="11" fillId="0" borderId="0" xfId="1" applyFont="1"/>
    <xf numFmtId="0" fontId="25" fillId="0" borderId="0" xfId="1" applyFont="1"/>
    <xf numFmtId="0" fontId="7" fillId="0" borderId="0" xfId="1" applyFont="1"/>
    <xf numFmtId="3" fontId="11" fillId="0" borderId="0" xfId="1" applyNumberFormat="1" applyFont="1" applyAlignment="1">
      <alignment horizontal="right"/>
    </xf>
    <xf numFmtId="3" fontId="6" fillId="0" borderId="0" xfId="1" applyNumberFormat="1" applyFont="1" applyAlignment="1">
      <alignment horizontal="right"/>
    </xf>
    <xf numFmtId="3" fontId="0" fillId="0" borderId="54" xfId="0" applyNumberFormat="1" applyBorder="1"/>
    <xf numFmtId="0" fontId="23" fillId="6" borderId="28" xfId="1" applyFont="1" applyFill="1" applyBorder="1" applyAlignment="1">
      <alignment horizontal="left"/>
    </xf>
    <xf numFmtId="0" fontId="24" fillId="6" borderId="26" xfId="1" applyFont="1" applyFill="1" applyBorder="1"/>
    <xf numFmtId="49" fontId="21" fillId="7" borderId="49" xfId="1" applyNumberFormat="1" applyFont="1" applyFill="1" applyBorder="1" applyAlignment="1">
      <alignment horizontal="center" vertical="center" wrapText="1"/>
    </xf>
    <xf numFmtId="3" fontId="21" fillId="7" borderId="51" xfId="1" applyNumberFormat="1" applyFont="1" applyFill="1" applyBorder="1" applyAlignment="1">
      <alignment horizontal="center" vertical="center" wrapText="1"/>
    </xf>
    <xf numFmtId="49" fontId="21" fillId="7" borderId="22" xfId="1" applyNumberFormat="1" applyFont="1" applyFill="1" applyBorder="1" applyAlignment="1">
      <alignment horizontal="center" vertical="center" wrapText="1"/>
    </xf>
    <xf numFmtId="49" fontId="21" fillId="7" borderId="23" xfId="1" applyNumberFormat="1" applyFont="1" applyFill="1" applyBorder="1" applyAlignment="1">
      <alignment vertical="center" wrapText="1"/>
    </xf>
    <xf numFmtId="49" fontId="21" fillId="7" borderId="23" xfId="1" applyNumberFormat="1" applyFont="1" applyFill="1" applyBorder="1" applyAlignment="1">
      <alignment horizontal="center" vertical="center" wrapText="1"/>
    </xf>
    <xf numFmtId="49" fontId="21" fillId="7" borderId="24" xfId="1" applyNumberFormat="1" applyFont="1" applyFill="1" applyBorder="1" applyAlignment="1">
      <alignment horizontal="center" vertical="center" wrapText="1"/>
    </xf>
    <xf numFmtId="49" fontId="21" fillId="7" borderId="27" xfId="1" applyNumberFormat="1" applyFont="1" applyFill="1" applyBorder="1" applyAlignment="1">
      <alignment horizontal="center" vertical="center" wrapText="1"/>
    </xf>
    <xf numFmtId="3" fontId="21" fillId="7" borderId="29" xfId="1" applyNumberFormat="1" applyFont="1" applyFill="1" applyBorder="1" applyAlignment="1">
      <alignment horizontal="center" vertical="center" wrapText="1"/>
    </xf>
    <xf numFmtId="3" fontId="21" fillId="7" borderId="23" xfId="1" applyNumberFormat="1" applyFont="1" applyFill="1" applyBorder="1" applyAlignment="1">
      <alignment vertical="center" wrapText="1"/>
    </xf>
    <xf numFmtId="3" fontId="21" fillId="7" borderId="23" xfId="1" applyNumberFormat="1" applyFont="1" applyFill="1" applyBorder="1" applyAlignment="1">
      <alignment horizontal="center" vertical="center" wrapText="1"/>
    </xf>
    <xf numFmtId="3" fontId="21" fillId="7" borderId="27" xfId="1" applyNumberFormat="1" applyFont="1" applyFill="1" applyBorder="1" applyAlignment="1">
      <alignment horizontal="center" vertical="center" wrapText="1"/>
    </xf>
    <xf numFmtId="0" fontId="6" fillId="8" borderId="34" xfId="1" applyFont="1" applyFill="1" applyBorder="1"/>
    <xf numFmtId="0" fontId="6" fillId="8" borderId="47" xfId="1" applyFont="1" applyFill="1" applyBorder="1"/>
    <xf numFmtId="3" fontId="6" fillId="8" borderId="34" xfId="1" applyNumberFormat="1" applyFont="1" applyFill="1" applyBorder="1" applyAlignment="1">
      <alignment horizontal="right"/>
    </xf>
    <xf numFmtId="3" fontId="6" fillId="8" borderId="42" xfId="1" applyNumberFormat="1" applyFont="1" applyFill="1" applyBorder="1" applyAlignment="1">
      <alignment horizontal="right"/>
    </xf>
    <xf numFmtId="3" fontId="6" fillId="8" borderId="41" xfId="1" applyNumberFormat="1" applyFont="1" applyFill="1" applyBorder="1" applyAlignment="1">
      <alignment horizontal="right"/>
    </xf>
    <xf numFmtId="3" fontId="6" fillId="8" borderId="47" xfId="1" applyNumberFormat="1" applyFont="1" applyFill="1" applyBorder="1" applyAlignment="1">
      <alignment horizontal="right"/>
    </xf>
    <xf numFmtId="3" fontId="6" fillId="8" borderId="43" xfId="1" applyNumberFormat="1" applyFont="1" applyFill="1" applyBorder="1" applyAlignment="1">
      <alignment horizontal="right"/>
    </xf>
    <xf numFmtId="0" fontId="22" fillId="9" borderId="49" xfId="1" applyFont="1" applyFill="1" applyBorder="1" applyAlignment="1">
      <alignment horizontal="left"/>
    </xf>
    <xf numFmtId="0" fontId="23" fillId="9" borderId="35" xfId="1" applyFont="1" applyFill="1" applyBorder="1" applyAlignment="1">
      <alignment horizontal="left"/>
    </xf>
    <xf numFmtId="3" fontId="7" fillId="9" borderId="49" xfId="1" applyNumberFormat="1" applyFont="1" applyFill="1" applyBorder="1"/>
    <xf numFmtId="3" fontId="7" fillId="9" borderId="46" xfId="1" applyNumberFormat="1" applyFont="1" applyFill="1" applyBorder="1"/>
    <xf numFmtId="3" fontId="7" fillId="9" borderId="35" xfId="1" applyNumberFormat="1" applyFont="1" applyFill="1" applyBorder="1"/>
    <xf numFmtId="3" fontId="7" fillId="9" borderId="50" xfId="1" applyNumberFormat="1" applyFont="1" applyFill="1" applyBorder="1"/>
    <xf numFmtId="3" fontId="7" fillId="9" borderId="51" xfId="1" applyNumberFormat="1" applyFont="1" applyFill="1" applyBorder="1"/>
    <xf numFmtId="0" fontId="22" fillId="9" borderId="49" xfId="1" applyFont="1" applyFill="1" applyBorder="1"/>
    <xf numFmtId="0" fontId="23" fillId="9" borderId="50" xfId="1" applyFont="1" applyFill="1" applyBorder="1"/>
    <xf numFmtId="0" fontId="22" fillId="9" borderId="44" xfId="1" applyFont="1" applyFill="1" applyBorder="1"/>
    <xf numFmtId="0" fontId="25" fillId="9" borderId="56" xfId="1" applyFont="1" applyFill="1" applyBorder="1"/>
    <xf numFmtId="0" fontId="25" fillId="9" borderId="50" xfId="1" applyFont="1" applyFill="1" applyBorder="1"/>
    <xf numFmtId="0" fontId="22" fillId="9" borderId="53" xfId="1" applyFont="1" applyFill="1" applyBorder="1"/>
    <xf numFmtId="0" fontId="22" fillId="9" borderId="50" xfId="1" applyFont="1" applyFill="1" applyBorder="1"/>
    <xf numFmtId="0" fontId="22" fillId="9" borderId="34" xfId="1" applyFont="1" applyFill="1" applyBorder="1"/>
    <xf numFmtId="0" fontId="32" fillId="9" borderId="47" xfId="1" applyFont="1" applyFill="1" applyBorder="1"/>
    <xf numFmtId="3" fontId="7" fillId="9" borderId="40" xfId="1" applyNumberFormat="1" applyFont="1" applyFill="1" applyBorder="1"/>
    <xf numFmtId="3" fontId="7" fillId="9" borderId="38" xfId="1" applyNumberFormat="1" applyFont="1" applyFill="1" applyBorder="1"/>
    <xf numFmtId="3" fontId="7" fillId="9" borderId="37" xfId="1" applyNumberFormat="1" applyFont="1" applyFill="1" applyBorder="1"/>
    <xf numFmtId="3" fontId="7" fillId="9" borderId="57" xfId="1" applyNumberFormat="1" applyFont="1" applyFill="1" applyBorder="1"/>
    <xf numFmtId="3" fontId="7" fillId="9" borderId="58" xfId="1" applyNumberFormat="1" applyFont="1" applyFill="1" applyBorder="1"/>
    <xf numFmtId="3" fontId="7" fillId="9" borderId="48" xfId="1" applyNumberFormat="1" applyFont="1" applyFill="1" applyBorder="1"/>
    <xf numFmtId="0" fontId="23" fillId="10" borderId="17" xfId="1" applyFont="1" applyFill="1" applyBorder="1" applyAlignment="1">
      <alignment horizontal="left"/>
    </xf>
    <xf numFmtId="0" fontId="24" fillId="10" borderId="18" xfId="1" applyFont="1" applyFill="1" applyBorder="1"/>
    <xf numFmtId="3" fontId="1" fillId="10" borderId="17" xfId="1" applyNumberFormat="1" applyFill="1" applyBorder="1"/>
    <xf numFmtId="3" fontId="1" fillId="10" borderId="19" xfId="1" applyNumberFormat="1" applyFill="1" applyBorder="1"/>
    <xf numFmtId="3" fontId="1" fillId="10" borderId="18" xfId="1" applyNumberFormat="1" applyFill="1" applyBorder="1"/>
    <xf numFmtId="3" fontId="1" fillId="10" borderId="20" xfId="1" applyNumberFormat="1" applyFill="1" applyBorder="1"/>
    <xf numFmtId="3" fontId="1" fillId="10" borderId="21" xfId="1" applyNumberFormat="1" applyFill="1" applyBorder="1"/>
    <xf numFmtId="0" fontId="23" fillId="10" borderId="22" xfId="1" applyFont="1" applyFill="1" applyBorder="1" applyAlignment="1">
      <alignment horizontal="left"/>
    </xf>
    <xf numFmtId="0" fontId="24" fillId="10" borderId="24" xfId="1" applyFont="1" applyFill="1" applyBorder="1"/>
    <xf numFmtId="3" fontId="1" fillId="10" borderId="22" xfId="1" applyNumberFormat="1" applyFill="1" applyBorder="1"/>
    <xf numFmtId="3" fontId="1" fillId="10" borderId="23" xfId="1" applyNumberFormat="1" applyFill="1" applyBorder="1"/>
    <xf numFmtId="3" fontId="1" fillId="10" borderId="24" xfId="1" applyNumberFormat="1" applyFill="1" applyBorder="1"/>
    <xf numFmtId="3" fontId="1" fillId="10" borderId="25" xfId="1" applyNumberFormat="1" applyFill="1" applyBorder="1"/>
    <xf numFmtId="3" fontId="1" fillId="10" borderId="26" xfId="1" applyNumberFormat="1" applyFill="1" applyBorder="1"/>
    <xf numFmtId="3" fontId="1" fillId="10" borderId="45" xfId="1" applyNumberFormat="1" applyFill="1" applyBorder="1"/>
    <xf numFmtId="0" fontId="24" fillId="10" borderId="20" xfId="1" applyFont="1" applyFill="1" applyBorder="1"/>
    <xf numFmtId="0" fontId="24" fillId="10" borderId="27" xfId="1" applyFont="1" applyFill="1" applyBorder="1"/>
    <xf numFmtId="3" fontId="1" fillId="10" borderId="28" xfId="1" applyNumberFormat="1" applyFill="1" applyBorder="1"/>
    <xf numFmtId="3" fontId="1" fillId="10" borderId="29" xfId="1" applyNumberFormat="1" applyFill="1" applyBorder="1"/>
    <xf numFmtId="3" fontId="1" fillId="10" borderId="27" xfId="1" applyNumberFormat="1" applyFill="1" applyBorder="1"/>
    <xf numFmtId="0" fontId="26" fillId="10" borderId="20" xfId="1" applyFont="1" applyFill="1" applyBorder="1"/>
    <xf numFmtId="0" fontId="23" fillId="10" borderId="22" xfId="1" applyFont="1" applyFill="1" applyBorder="1"/>
    <xf numFmtId="0" fontId="26" fillId="10" borderId="27" xfId="1" applyFont="1" applyFill="1" applyBorder="1"/>
    <xf numFmtId="0" fontId="23" fillId="10" borderId="36" xfId="1" applyFont="1" applyFill="1" applyBorder="1" applyAlignment="1">
      <alignment horizontal="left"/>
    </xf>
    <xf numFmtId="0" fontId="23" fillId="10" borderId="17" xfId="1" applyFont="1" applyFill="1" applyBorder="1"/>
    <xf numFmtId="0" fontId="27" fillId="10" borderId="20" xfId="1" applyFont="1" applyFill="1" applyBorder="1"/>
    <xf numFmtId="0" fontId="23" fillId="10" borderId="36" xfId="1" applyFont="1" applyFill="1" applyBorder="1"/>
    <xf numFmtId="0" fontId="24" fillId="10" borderId="14" xfId="1" applyFont="1" applyFill="1" applyBorder="1"/>
    <xf numFmtId="0" fontId="29" fillId="10" borderId="17" xfId="1" applyFont="1" applyFill="1" applyBorder="1"/>
    <xf numFmtId="0" fontId="30" fillId="10" borderId="20" xfId="1" applyFont="1" applyFill="1" applyBorder="1"/>
    <xf numFmtId="0" fontId="29" fillId="10" borderId="15" xfId="1" applyFont="1" applyFill="1" applyBorder="1"/>
    <xf numFmtId="0" fontId="30" fillId="10" borderId="52" xfId="1" applyFont="1" applyFill="1" applyBorder="1"/>
    <xf numFmtId="3" fontId="11" fillId="10" borderId="24" xfId="1" applyNumberFormat="1" applyFont="1" applyFill="1" applyBorder="1" applyAlignment="1">
      <alignment horizontal="right"/>
    </xf>
    <xf numFmtId="3" fontId="11" fillId="10" borderId="28" xfId="1" applyNumberFormat="1" applyFont="1" applyFill="1" applyBorder="1" applyAlignment="1">
      <alignment horizontal="right"/>
    </xf>
    <xf numFmtId="3" fontId="11" fillId="10" borderId="25" xfId="1" applyNumberFormat="1" applyFont="1" applyFill="1" applyBorder="1" applyAlignment="1">
      <alignment horizontal="right"/>
    </xf>
    <xf numFmtId="3" fontId="11" fillId="10" borderId="26" xfId="1" applyNumberFormat="1" applyFont="1" applyFill="1" applyBorder="1" applyAlignment="1">
      <alignment horizontal="right"/>
    </xf>
    <xf numFmtId="3" fontId="11" fillId="10" borderId="27" xfId="1" applyNumberFormat="1" applyFont="1" applyFill="1" applyBorder="1" applyAlignment="1">
      <alignment horizontal="right"/>
    </xf>
    <xf numFmtId="0" fontId="31" fillId="10" borderId="17" xfId="1" applyFont="1" applyFill="1" applyBorder="1"/>
    <xf numFmtId="0" fontId="31" fillId="10" borderId="28" xfId="1" applyFont="1" applyFill="1" applyBorder="1"/>
    <xf numFmtId="0" fontId="26" fillId="10" borderId="26" xfId="1" applyFont="1" applyFill="1" applyBorder="1"/>
    <xf numFmtId="3" fontId="1" fillId="10" borderId="30" xfId="1" applyNumberFormat="1" applyFill="1" applyBorder="1"/>
    <xf numFmtId="0" fontId="31" fillId="10" borderId="22" xfId="1" applyFont="1" applyFill="1" applyBorder="1"/>
    <xf numFmtId="3" fontId="40" fillId="11" borderId="59" xfId="1" applyNumberFormat="1" applyFont="1" applyFill="1" applyBorder="1"/>
    <xf numFmtId="3" fontId="40" fillId="11" borderId="60" xfId="1" applyNumberFormat="1" applyFont="1" applyFill="1" applyBorder="1"/>
    <xf numFmtId="3" fontId="40" fillId="11" borderId="61" xfId="1" applyNumberFormat="1" applyFont="1" applyFill="1" applyBorder="1"/>
    <xf numFmtId="3" fontId="1" fillId="12" borderId="62" xfId="1" applyNumberFormat="1" applyFill="1" applyBorder="1"/>
    <xf numFmtId="3" fontId="1" fillId="12" borderId="55" xfId="1" applyNumberFormat="1" applyFill="1" applyBorder="1"/>
    <xf numFmtId="3" fontId="1" fillId="12" borderId="63" xfId="1" applyNumberFormat="1" applyFill="1" applyBorder="1"/>
    <xf numFmtId="3" fontId="1" fillId="0" borderId="55" xfId="1" applyNumberFormat="1" applyBorder="1"/>
    <xf numFmtId="3" fontId="1" fillId="0" borderId="63" xfId="1" applyNumberFormat="1" applyBorder="1"/>
    <xf numFmtId="3" fontId="1" fillId="12" borderId="64" xfId="1" applyNumberFormat="1" applyFill="1" applyBorder="1"/>
    <xf numFmtId="3" fontId="1" fillId="12" borderId="65" xfId="1" applyNumberFormat="1" applyFill="1" applyBorder="1"/>
    <xf numFmtId="3" fontId="1" fillId="12" borderId="66" xfId="1" applyNumberFormat="1" applyFill="1" applyBorder="1"/>
    <xf numFmtId="3" fontId="7" fillId="11" borderId="59" xfId="1" applyNumberFormat="1" applyFont="1" applyFill="1" applyBorder="1"/>
    <xf numFmtId="3" fontId="7" fillId="11" borderId="60" xfId="1" applyNumberFormat="1" applyFont="1" applyFill="1" applyBorder="1"/>
    <xf numFmtId="3" fontId="1" fillId="12" borderId="67" xfId="1" applyNumberFormat="1" applyFill="1" applyBorder="1"/>
    <xf numFmtId="3" fontId="1" fillId="12" borderId="68" xfId="1" applyNumberFormat="1" applyFill="1" applyBorder="1"/>
    <xf numFmtId="3" fontId="1" fillId="12" borderId="69" xfId="1" applyNumberFormat="1" applyFill="1" applyBorder="1"/>
    <xf numFmtId="3" fontId="7" fillId="11" borderId="61" xfId="1" applyNumberFormat="1" applyFont="1" applyFill="1" applyBorder="1"/>
    <xf numFmtId="3" fontId="41" fillId="0" borderId="55" xfId="1" applyNumberFormat="1" applyFont="1" applyBorder="1"/>
    <xf numFmtId="3" fontId="41" fillId="0" borderId="63" xfId="1" applyNumberFormat="1" applyFont="1" applyBorder="1"/>
    <xf numFmtId="3" fontId="41" fillId="12" borderId="68" xfId="1" applyNumberFormat="1" applyFont="1" applyFill="1" applyBorder="1"/>
    <xf numFmtId="3" fontId="41" fillId="12" borderId="69" xfId="1" applyNumberFormat="1" applyFont="1" applyFill="1" applyBorder="1"/>
    <xf numFmtId="3" fontId="1" fillId="0" borderId="68" xfId="1" applyNumberFormat="1" applyBorder="1"/>
    <xf numFmtId="3" fontId="1" fillId="0" borderId="69" xfId="1" applyNumberFormat="1" applyBorder="1"/>
    <xf numFmtId="3" fontId="1" fillId="13" borderId="55" xfId="1" applyNumberFormat="1" applyFill="1" applyBorder="1"/>
    <xf numFmtId="3" fontId="1" fillId="13" borderId="63" xfId="1" applyNumberFormat="1" applyFill="1" applyBorder="1"/>
    <xf numFmtId="3" fontId="42" fillId="0" borderId="63" xfId="1" applyNumberFormat="1" applyFont="1" applyBorder="1"/>
    <xf numFmtId="3" fontId="42" fillId="0" borderId="55" xfId="1" applyNumberFormat="1" applyFont="1" applyBorder="1"/>
    <xf numFmtId="3" fontId="42" fillId="12" borderId="55" xfId="1" applyNumberFormat="1" applyFont="1" applyFill="1" applyBorder="1"/>
    <xf numFmtId="3" fontId="7" fillId="11" borderId="70" xfId="1" applyNumberFormat="1" applyFont="1" applyFill="1" applyBorder="1"/>
    <xf numFmtId="3" fontId="1" fillId="12" borderId="71" xfId="1" applyNumberFormat="1" applyFill="1" applyBorder="1"/>
    <xf numFmtId="3" fontId="1" fillId="12" borderId="72" xfId="1" applyNumberFormat="1" applyFill="1" applyBorder="1"/>
    <xf numFmtId="3" fontId="43" fillId="12" borderId="69" xfId="1" applyNumberFormat="1" applyFont="1" applyFill="1" applyBorder="1" applyAlignment="1">
      <alignment horizontal="right"/>
    </xf>
    <xf numFmtId="3" fontId="7" fillId="11" borderId="73" xfId="1" applyNumberFormat="1" applyFont="1" applyFill="1" applyBorder="1"/>
    <xf numFmtId="3" fontId="7" fillId="11" borderId="74" xfId="1" applyNumberFormat="1" applyFont="1" applyFill="1" applyBorder="1"/>
    <xf numFmtId="3" fontId="1" fillId="0" borderId="62" xfId="1" applyNumberFormat="1" applyBorder="1"/>
    <xf numFmtId="3" fontId="1" fillId="0" borderId="67" xfId="1" applyNumberFormat="1" applyBorder="1"/>
    <xf numFmtId="3" fontId="1" fillId="6" borderId="45" xfId="1" applyNumberFormat="1" applyFill="1" applyBorder="1"/>
    <xf numFmtId="3" fontId="43" fillId="0" borderId="75" xfId="1" applyNumberFormat="1" applyFont="1" applyBorder="1"/>
    <xf numFmtId="3" fontId="1" fillId="0" borderId="76" xfId="1" applyNumberFormat="1" applyBorder="1"/>
    <xf numFmtId="3" fontId="11" fillId="0" borderId="76" xfId="1" applyNumberFormat="1" applyFont="1" applyBorder="1" applyAlignment="1">
      <alignment horizontal="right"/>
    </xf>
    <xf numFmtId="3" fontId="20" fillId="0" borderId="1" xfId="0" applyNumberFormat="1" applyFont="1" applyBorder="1" applyAlignment="1">
      <alignment horizontal="center" wrapText="1"/>
    </xf>
    <xf numFmtId="0" fontId="20" fillId="0" borderId="1" xfId="0" applyFont="1" applyBorder="1" applyAlignment="1">
      <alignment horizontal="left"/>
    </xf>
    <xf numFmtId="0" fontId="11" fillId="0" borderId="15" xfId="1" applyFont="1" applyBorder="1"/>
    <xf numFmtId="0" fontId="11" fillId="0" borderId="52" xfId="1" applyFont="1" applyBorder="1"/>
    <xf numFmtId="0" fontId="49" fillId="0" borderId="0" xfId="1" applyFont="1"/>
    <xf numFmtId="3" fontId="52" fillId="0" borderId="3" xfId="1" applyNumberFormat="1" applyFont="1" applyBorder="1"/>
    <xf numFmtId="3" fontId="52" fillId="0" borderId="10" xfId="1" applyNumberFormat="1" applyFont="1" applyBorder="1"/>
    <xf numFmtId="3" fontId="51" fillId="0" borderId="55" xfId="1" applyNumberFormat="1" applyFont="1" applyBorder="1"/>
    <xf numFmtId="3" fontId="51" fillId="0" borderId="63" xfId="1" applyNumberFormat="1" applyFont="1" applyBorder="1"/>
    <xf numFmtId="3" fontId="51" fillId="0" borderId="71" xfId="1" applyNumberFormat="1" applyFont="1" applyBorder="1"/>
    <xf numFmtId="0" fontId="54" fillId="0" borderId="93" xfId="2" applyFont="1" applyBorder="1" applyAlignment="1">
      <alignment horizontal="center" wrapText="1"/>
    </xf>
    <xf numFmtId="3" fontId="14" fillId="0" borderId="96" xfId="1" applyNumberFormat="1" applyFont="1" applyBorder="1" applyAlignment="1">
      <alignment horizontal="center"/>
    </xf>
    <xf numFmtId="3" fontId="14" fillId="0" borderId="71" xfId="1" applyNumberFormat="1" applyFont="1" applyBorder="1" applyAlignment="1">
      <alignment horizontal="center"/>
    </xf>
    <xf numFmtId="3" fontId="14" fillId="0" borderId="72" xfId="1" applyNumberFormat="1" applyFont="1" applyBorder="1" applyAlignment="1">
      <alignment horizontal="center"/>
    </xf>
    <xf numFmtId="3" fontId="51" fillId="0" borderId="72" xfId="1" applyNumberFormat="1" applyFont="1" applyBorder="1"/>
    <xf numFmtId="3" fontId="44" fillId="0" borderId="70" xfId="1" applyNumberFormat="1" applyFont="1" applyBorder="1"/>
    <xf numFmtId="3" fontId="44" fillId="0" borderId="60" xfId="1" applyNumberFormat="1" applyFont="1" applyBorder="1"/>
    <xf numFmtId="3" fontId="44" fillId="0" borderId="61" xfId="1" applyNumberFormat="1" applyFont="1" applyBorder="1"/>
    <xf numFmtId="3" fontId="51" fillId="0" borderId="98" xfId="1" applyNumberFormat="1" applyFont="1" applyBorder="1"/>
    <xf numFmtId="3" fontId="51" fillId="0" borderId="65" xfId="1" applyNumberFormat="1" applyFont="1" applyBorder="1"/>
    <xf numFmtId="0" fontId="48" fillId="0" borderId="78" xfId="1" applyFont="1" applyBorder="1" applyAlignment="1">
      <alignment horizontal="left"/>
    </xf>
    <xf numFmtId="0" fontId="23" fillId="0" borderId="101" xfId="1" applyFont="1" applyBorder="1" applyAlignment="1">
      <alignment horizontal="left"/>
    </xf>
    <xf numFmtId="0" fontId="23" fillId="0" borderId="79" xfId="1" applyFont="1" applyBorder="1" applyAlignment="1">
      <alignment horizontal="left"/>
    </xf>
    <xf numFmtId="0" fontId="24" fillId="0" borderId="80" xfId="1" applyFont="1" applyBorder="1"/>
    <xf numFmtId="0" fontId="23" fillId="0" borderId="102" xfId="1" applyFont="1" applyBorder="1" applyAlignment="1">
      <alignment horizontal="left"/>
    </xf>
    <xf numFmtId="0" fontId="24" fillId="0" borderId="103" xfId="1" applyFont="1" applyBorder="1"/>
    <xf numFmtId="0" fontId="48" fillId="0" borderId="104" xfId="1" applyFont="1" applyBorder="1"/>
    <xf numFmtId="0" fontId="23" fillId="0" borderId="105" xfId="1" applyFont="1" applyBorder="1"/>
    <xf numFmtId="0" fontId="24" fillId="0" borderId="90" xfId="1" applyFont="1" applyBorder="1"/>
    <xf numFmtId="0" fontId="23" fillId="0" borderId="102" xfId="1" applyFont="1" applyBorder="1"/>
    <xf numFmtId="0" fontId="48" fillId="0" borderId="106" xfId="1" applyFont="1" applyBorder="1"/>
    <xf numFmtId="0" fontId="25" fillId="0" borderId="107" xfId="1" applyFont="1" applyBorder="1"/>
    <xf numFmtId="0" fontId="23" fillId="0" borderId="108" xfId="1" applyFont="1" applyBorder="1" applyAlignment="1">
      <alignment horizontal="left"/>
    </xf>
    <xf numFmtId="0" fontId="25" fillId="0" borderId="105" xfId="1" applyFont="1" applyBorder="1"/>
    <xf numFmtId="0" fontId="23" fillId="0" borderId="79" xfId="1" applyFont="1" applyBorder="1"/>
    <xf numFmtId="0" fontId="27" fillId="0" borderId="80" xfId="1" applyFont="1" applyBorder="1"/>
    <xf numFmtId="0" fontId="23" fillId="0" borderId="108" xfId="1" applyFont="1" applyBorder="1"/>
    <xf numFmtId="0" fontId="24" fillId="0" borderId="89" xfId="1" applyFont="1" applyBorder="1"/>
    <xf numFmtId="0" fontId="23" fillId="0" borderId="81" xfId="1" applyFont="1" applyBorder="1" applyAlignment="1">
      <alignment horizontal="left"/>
    </xf>
    <xf numFmtId="0" fontId="24" fillId="0" borderId="82" xfId="1" applyFont="1" applyBorder="1"/>
    <xf numFmtId="0" fontId="31" fillId="0" borderId="79" xfId="1" applyFont="1" applyBorder="1"/>
    <xf numFmtId="0" fontId="31" fillId="0" borderId="81" xfId="1" applyFont="1" applyBorder="1"/>
    <xf numFmtId="0" fontId="31" fillId="0" borderId="102" xfId="1" applyFont="1" applyBorder="1"/>
    <xf numFmtId="0" fontId="48" fillId="0" borderId="109" xfId="1" applyFont="1" applyBorder="1"/>
    <xf numFmtId="0" fontId="22" fillId="0" borderId="105" xfId="1" applyFont="1" applyBorder="1"/>
    <xf numFmtId="0" fontId="23" fillId="0" borderId="81" xfId="1" applyFont="1" applyBorder="1"/>
    <xf numFmtId="0" fontId="23" fillId="0" borderId="71" xfId="1" applyFont="1" applyBorder="1" applyAlignment="1">
      <alignment horizontal="left"/>
    </xf>
    <xf numFmtId="0" fontId="24" fillId="0" borderId="63" xfId="1" applyFont="1" applyBorder="1"/>
    <xf numFmtId="0" fontId="23" fillId="0" borderId="71" xfId="1" applyFont="1" applyBorder="1"/>
    <xf numFmtId="0" fontId="48" fillId="0" borderId="111" xfId="1" applyFont="1" applyBorder="1"/>
    <xf numFmtId="0" fontId="32" fillId="0" borderId="112" xfId="1" applyFont="1" applyBorder="1"/>
    <xf numFmtId="0" fontId="23" fillId="0" borderId="72" xfId="1" applyFont="1" applyBorder="1"/>
    <xf numFmtId="3" fontId="51" fillId="0" borderId="66" xfId="1" applyNumberFormat="1" applyFont="1" applyBorder="1"/>
    <xf numFmtId="0" fontId="20" fillId="0" borderId="1" xfId="0" applyFont="1" applyBorder="1"/>
    <xf numFmtId="0" fontId="49" fillId="0" borderId="3" xfId="0" applyFont="1" applyBorder="1"/>
    <xf numFmtId="0" fontId="14" fillId="0" borderId="5" xfId="0" applyFont="1" applyBorder="1"/>
    <xf numFmtId="0" fontId="14" fillId="0" borderId="8" xfId="0" applyFont="1" applyBorder="1"/>
    <xf numFmtId="0" fontId="34" fillId="0" borderId="5" xfId="0" applyFont="1" applyBorder="1"/>
    <xf numFmtId="0" fontId="49" fillId="0" borderId="10" xfId="0" applyFont="1" applyBorder="1"/>
    <xf numFmtId="0" fontId="20" fillId="0" borderId="32" xfId="0" applyFont="1" applyBorder="1"/>
    <xf numFmtId="3" fontId="49" fillId="0" borderId="84" xfId="0" applyNumberFormat="1" applyFont="1" applyBorder="1" applyAlignment="1">
      <alignment horizontal="left"/>
    </xf>
    <xf numFmtId="0" fontId="58" fillId="0" borderId="1" xfId="0" applyFont="1" applyBorder="1" applyAlignment="1">
      <alignment horizontal="left"/>
    </xf>
    <xf numFmtId="0" fontId="14" fillId="0" borderId="0" xfId="0" applyFont="1" applyAlignment="1">
      <alignment horizontal="left"/>
    </xf>
    <xf numFmtId="3" fontId="52" fillId="0" borderId="115" xfId="1" applyNumberFormat="1" applyFont="1" applyBorder="1"/>
    <xf numFmtId="3" fontId="52" fillId="0" borderId="92" xfId="1" applyNumberFormat="1" applyFont="1" applyBorder="1"/>
    <xf numFmtId="3" fontId="52" fillId="0" borderId="8" xfId="1" applyNumberFormat="1" applyFont="1" applyBorder="1"/>
    <xf numFmtId="3" fontId="52" fillId="0" borderId="95" xfId="1" applyNumberFormat="1" applyFont="1" applyBorder="1"/>
    <xf numFmtId="3" fontId="37" fillId="0" borderId="7" xfId="1" applyNumberFormat="1" applyFont="1" applyBorder="1"/>
    <xf numFmtId="3" fontId="20" fillId="0" borderId="95" xfId="1" applyNumberFormat="1" applyFont="1" applyBorder="1" applyAlignment="1">
      <alignment horizontal="center" wrapText="1"/>
    </xf>
    <xf numFmtId="3" fontId="49" fillId="0" borderId="85" xfId="0" applyNumberFormat="1" applyFont="1" applyBorder="1"/>
    <xf numFmtId="0" fontId="14" fillId="0" borderId="116" xfId="0" applyFont="1" applyBorder="1" applyAlignment="1">
      <alignment horizontal="left"/>
    </xf>
    <xf numFmtId="0" fontId="60" fillId="0" borderId="0" xfId="0" applyFont="1"/>
    <xf numFmtId="3" fontId="14" fillId="0" borderId="85" xfId="1" applyNumberFormat="1" applyFont="1" applyBorder="1" applyAlignment="1">
      <alignment horizontal="center" wrapText="1"/>
    </xf>
    <xf numFmtId="3" fontId="37" fillId="0" borderId="114" xfId="1" applyNumberFormat="1" applyFont="1" applyBorder="1"/>
    <xf numFmtId="3" fontId="37" fillId="0" borderId="120" xfId="1" applyNumberFormat="1" applyFont="1" applyBorder="1"/>
    <xf numFmtId="3" fontId="37" fillId="0" borderId="121" xfId="1" applyNumberFormat="1" applyFont="1" applyBorder="1"/>
    <xf numFmtId="0" fontId="37" fillId="0" borderId="0" xfId="1" applyFont="1"/>
    <xf numFmtId="3" fontId="37" fillId="0" borderId="122" xfId="1" applyNumberFormat="1" applyFont="1" applyBorder="1"/>
    <xf numFmtId="0" fontId="61" fillId="0" borderId="0" xfId="0" applyFont="1"/>
    <xf numFmtId="4" fontId="1" fillId="0" borderId="0" xfId="1" applyNumberFormat="1"/>
    <xf numFmtId="0" fontId="63" fillId="0" borderId="0" xfId="0" applyFont="1"/>
    <xf numFmtId="3" fontId="2" fillId="0" borderId="134" xfId="1" applyNumberFormat="1" applyFont="1" applyBorder="1" applyAlignment="1">
      <alignment horizontal="right"/>
    </xf>
    <xf numFmtId="0" fontId="27" fillId="0" borderId="103" xfId="1" applyFont="1" applyBorder="1"/>
    <xf numFmtId="0" fontId="24" fillId="0" borderId="88" xfId="1" applyFont="1" applyBorder="1"/>
    <xf numFmtId="0" fontId="24" fillId="0" borderId="110" xfId="1" applyFont="1" applyBorder="1"/>
    <xf numFmtId="3" fontId="47" fillId="0" borderId="65" xfId="1" applyNumberFormat="1" applyFont="1" applyBorder="1" applyAlignment="1">
      <alignment horizontal="right"/>
    </xf>
    <xf numFmtId="3" fontId="47" fillId="0" borderId="66" xfId="1" applyNumberFormat="1" applyFont="1" applyBorder="1" applyAlignment="1">
      <alignment horizontal="right"/>
    </xf>
    <xf numFmtId="3" fontId="44" fillId="0" borderId="138" xfId="1" applyNumberFormat="1" applyFont="1" applyBorder="1"/>
    <xf numFmtId="3" fontId="44" fillId="0" borderId="75" xfId="1" applyNumberFormat="1" applyFont="1" applyBorder="1"/>
    <xf numFmtId="3" fontId="44" fillId="0" borderId="91" xfId="1" applyNumberFormat="1" applyFont="1" applyBorder="1"/>
    <xf numFmtId="4" fontId="34" fillId="0" borderId="7" xfId="0" applyNumberFormat="1" applyFont="1" applyBorder="1"/>
    <xf numFmtId="4" fontId="34" fillId="0" borderId="5" xfId="0" applyNumberFormat="1" applyFont="1" applyBorder="1"/>
    <xf numFmtId="4" fontId="14" fillId="0" borderId="85" xfId="0" applyNumberFormat="1" applyFont="1" applyBorder="1" applyAlignment="1">
      <alignment horizontal="right"/>
    </xf>
    <xf numFmtId="4" fontId="34" fillId="0" borderId="83" xfId="0" applyNumberFormat="1" applyFont="1" applyBorder="1"/>
    <xf numFmtId="4" fontId="34" fillId="0" borderId="84" xfId="0" applyNumberFormat="1" applyFont="1" applyBorder="1"/>
    <xf numFmtId="4" fontId="14" fillId="0" borderId="84" xfId="0" applyNumberFormat="1" applyFont="1" applyBorder="1" applyAlignment="1">
      <alignment horizontal="right"/>
    </xf>
    <xf numFmtId="3" fontId="1" fillId="0" borderId="90" xfId="1" applyNumberFormat="1" applyBorder="1"/>
    <xf numFmtId="0" fontId="23" fillId="0" borderId="106" xfId="1" applyFont="1" applyBorder="1"/>
    <xf numFmtId="3" fontId="51" fillId="0" borderId="139" xfId="1" applyNumberFormat="1" applyFont="1" applyBorder="1"/>
    <xf numFmtId="0" fontId="23" fillId="0" borderId="148" xfId="1" applyFont="1" applyBorder="1"/>
    <xf numFmtId="0" fontId="24" fillId="0" borderId="149" xfId="1" applyFont="1" applyBorder="1"/>
    <xf numFmtId="3" fontId="51" fillId="0" borderId="74" xfId="1" applyNumberFormat="1" applyFont="1" applyBorder="1"/>
    <xf numFmtId="3" fontId="51" fillId="0" borderId="153" xfId="1" applyNumberFormat="1" applyFont="1" applyBorder="1"/>
    <xf numFmtId="3" fontId="1" fillId="0" borderId="98" xfId="5" applyNumberFormat="1" applyBorder="1"/>
    <xf numFmtId="3" fontId="1" fillId="0" borderId="65" xfId="5" applyNumberFormat="1" applyBorder="1"/>
    <xf numFmtId="49" fontId="66" fillId="0" borderId="93" xfId="3" applyNumberFormat="1" applyFont="1" applyBorder="1"/>
    <xf numFmtId="3" fontId="68" fillId="0" borderId="123" xfId="3" applyNumberFormat="1" applyFont="1" applyBorder="1"/>
    <xf numFmtId="3" fontId="7" fillId="0" borderId="93" xfId="5" applyNumberFormat="1" applyFont="1" applyBorder="1"/>
    <xf numFmtId="3" fontId="7" fillId="0" borderId="123" xfId="5" applyNumberFormat="1" applyFont="1" applyBorder="1"/>
    <xf numFmtId="3" fontId="7" fillId="0" borderId="157" xfId="5" applyNumberFormat="1" applyFont="1" applyBorder="1"/>
    <xf numFmtId="49" fontId="69" fillId="0" borderId="96" xfId="3" applyNumberFormat="1" applyFont="1" applyBorder="1"/>
    <xf numFmtId="3" fontId="66" fillId="0" borderId="97" xfId="3" applyNumberFormat="1" applyFont="1" applyBorder="1"/>
    <xf numFmtId="3" fontId="66" fillId="0" borderId="144" xfId="3" applyNumberFormat="1" applyFont="1" applyBorder="1"/>
    <xf numFmtId="3" fontId="1" fillId="0" borderId="96" xfId="5" applyNumberFormat="1" applyBorder="1"/>
    <xf numFmtId="3" fontId="1" fillId="0" borderId="97" xfId="5" applyNumberFormat="1" applyBorder="1"/>
    <xf numFmtId="3" fontId="66" fillId="0" borderId="55" xfId="3" applyNumberFormat="1" applyFont="1" applyBorder="1"/>
    <xf numFmtId="3" fontId="1" fillId="0" borderId="55" xfId="5" applyNumberFormat="1" applyBorder="1"/>
    <xf numFmtId="49" fontId="69" fillId="0" borderId="98" xfId="3" applyNumberFormat="1" applyFont="1" applyBorder="1"/>
    <xf numFmtId="3" fontId="66" fillId="0" borderId="65" xfId="3" applyNumberFormat="1" applyFont="1" applyBorder="1"/>
    <xf numFmtId="49" fontId="67" fillId="0" borderId="93" xfId="3" applyNumberFormat="1" applyFont="1" applyBorder="1"/>
    <xf numFmtId="49" fontId="69" fillId="0" borderId="93" xfId="3" applyNumberFormat="1" applyFont="1" applyBorder="1"/>
    <xf numFmtId="0" fontId="70" fillId="0" borderId="113" xfId="5" applyFont="1" applyBorder="1" applyAlignment="1">
      <alignment vertical="center" wrapText="1"/>
    </xf>
    <xf numFmtId="3" fontId="66" fillId="0" borderId="123" xfId="3" applyNumberFormat="1" applyFont="1" applyBorder="1"/>
    <xf numFmtId="3" fontId="1" fillId="0" borderId="123" xfId="5" applyNumberFormat="1" applyBorder="1"/>
    <xf numFmtId="0" fontId="70" fillId="0" borderId="96" xfId="5" applyFont="1" applyBorder="1" applyAlignment="1">
      <alignment vertical="center" wrapText="1"/>
    </xf>
    <xf numFmtId="3" fontId="69" fillId="0" borderId="97" xfId="3" applyNumberFormat="1" applyFont="1" applyBorder="1"/>
    <xf numFmtId="3" fontId="71" fillId="0" borderId="96" xfId="5" applyNumberFormat="1" applyFont="1" applyBorder="1"/>
    <xf numFmtId="0" fontId="70" fillId="0" borderId="71" xfId="5" applyFont="1" applyBorder="1" applyAlignment="1">
      <alignment vertical="center" wrapText="1"/>
    </xf>
    <xf numFmtId="3" fontId="69" fillId="0" borderId="55" xfId="3" applyNumberFormat="1" applyFont="1" applyBorder="1"/>
    <xf numFmtId="0" fontId="70" fillId="0" borderId="98" xfId="5" applyFont="1" applyBorder="1" applyAlignment="1">
      <alignment vertical="center" wrapText="1"/>
    </xf>
    <xf numFmtId="3" fontId="69" fillId="0" borderId="65" xfId="3" applyNumberFormat="1" applyFont="1" applyBorder="1"/>
    <xf numFmtId="0" fontId="72" fillId="0" borderId="105" xfId="1" applyFont="1" applyBorder="1"/>
    <xf numFmtId="3" fontId="2" fillId="0" borderId="125" xfId="1" applyNumberFormat="1" applyFont="1" applyBorder="1" applyAlignment="1">
      <alignment horizontal="right"/>
    </xf>
    <xf numFmtId="3" fontId="2" fillId="0" borderId="142" xfId="1" applyNumberFormat="1" applyFont="1" applyBorder="1" applyAlignment="1">
      <alignment horizontal="right"/>
    </xf>
    <xf numFmtId="0" fontId="6" fillId="0" borderId="165" xfId="1" applyFont="1" applyBorder="1"/>
    <xf numFmtId="0" fontId="6" fillId="0" borderId="166" xfId="1" applyFont="1" applyBorder="1"/>
    <xf numFmtId="0" fontId="56" fillId="0" borderId="132" xfId="0" applyFont="1" applyBorder="1"/>
    <xf numFmtId="0" fontId="34" fillId="0" borderId="132" xfId="0" applyFont="1" applyBorder="1"/>
    <xf numFmtId="0" fontId="56" fillId="0" borderId="156" xfId="0" applyFont="1" applyBorder="1"/>
    <xf numFmtId="0" fontId="56" fillId="0" borderId="0" xfId="0" applyFont="1"/>
    <xf numFmtId="4" fontId="56" fillId="0" borderId="128" xfId="0" applyNumberFormat="1" applyFont="1" applyBorder="1"/>
    <xf numFmtId="4" fontId="56" fillId="0" borderId="164" xfId="0" applyNumberFormat="1" applyFont="1" applyBorder="1"/>
    <xf numFmtId="4" fontId="59" fillId="0" borderId="85" xfId="0" applyNumberFormat="1" applyFont="1" applyBorder="1"/>
    <xf numFmtId="4" fontId="0" fillId="0" borderId="0" xfId="0" applyNumberFormat="1"/>
    <xf numFmtId="4" fontId="20" fillId="0" borderId="95" xfId="1" applyNumberFormat="1" applyFont="1" applyBorder="1" applyAlignment="1">
      <alignment horizontal="center" wrapText="1"/>
    </xf>
    <xf numFmtId="4" fontId="37" fillId="0" borderId="7" xfId="1" applyNumberFormat="1" applyFont="1" applyBorder="1"/>
    <xf numFmtId="4" fontId="37" fillId="0" borderId="10" xfId="1" applyNumberFormat="1" applyFont="1" applyBorder="1"/>
    <xf numFmtId="4" fontId="37" fillId="0" borderId="31" xfId="1" applyNumberFormat="1" applyFont="1" applyBorder="1"/>
    <xf numFmtId="4" fontId="52" fillId="0" borderId="3" xfId="1" applyNumberFormat="1" applyFont="1" applyBorder="1"/>
    <xf numFmtId="4" fontId="52" fillId="0" borderId="8" xfId="1" applyNumberFormat="1" applyFont="1" applyBorder="1"/>
    <xf numFmtId="4" fontId="52" fillId="0" borderId="95" xfId="1" applyNumberFormat="1" applyFont="1" applyBorder="1"/>
    <xf numFmtId="4" fontId="52" fillId="0" borderId="115" xfId="1" applyNumberFormat="1" applyFont="1" applyBorder="1"/>
    <xf numFmtId="4" fontId="52" fillId="0" borderId="10" xfId="1" applyNumberFormat="1" applyFont="1" applyBorder="1"/>
    <xf numFmtId="4" fontId="52" fillId="0" borderId="92" xfId="1" applyNumberFormat="1" applyFont="1" applyBorder="1"/>
    <xf numFmtId="3" fontId="34" fillId="0" borderId="128" xfId="0" applyNumberFormat="1" applyFont="1" applyBorder="1"/>
    <xf numFmtId="3" fontId="66" fillId="0" borderId="76" xfId="3" applyNumberFormat="1" applyFont="1" applyBorder="1"/>
    <xf numFmtId="3" fontId="7" fillId="0" borderId="85" xfId="5" applyNumberFormat="1" applyFont="1" applyBorder="1" applyAlignment="1">
      <alignment horizontal="right"/>
    </xf>
    <xf numFmtId="3" fontId="1" fillId="0" borderId="114" xfId="5" applyNumberFormat="1" applyBorder="1"/>
    <xf numFmtId="3" fontId="7" fillId="0" borderId="85" xfId="5" applyNumberFormat="1" applyFont="1" applyBorder="1"/>
    <xf numFmtId="3" fontId="1" fillId="0" borderId="168" xfId="5" applyNumberFormat="1" applyBorder="1"/>
    <xf numFmtId="2" fontId="31" fillId="0" borderId="139" xfId="3" applyNumberFormat="1" applyFont="1" applyBorder="1" applyAlignment="1">
      <alignment horizontal="center" wrapText="1"/>
    </xf>
    <xf numFmtId="3" fontId="66" fillId="0" borderId="76" xfId="5" applyNumberFormat="1" applyFont="1" applyBorder="1" applyAlignment="1">
      <alignment horizontal="right" vertical="center"/>
    </xf>
    <xf numFmtId="3" fontId="66" fillId="0" borderId="76" xfId="5" applyNumberFormat="1" applyFont="1" applyBorder="1" applyAlignment="1">
      <alignment horizontal="right" vertical="center" wrapText="1"/>
    </xf>
    <xf numFmtId="3" fontId="31" fillId="0" borderId="76" xfId="5" applyNumberFormat="1" applyFont="1" applyBorder="1" applyAlignment="1">
      <alignment horizontal="right" vertical="center" wrapText="1"/>
    </xf>
    <xf numFmtId="3" fontId="7" fillId="0" borderId="76" xfId="5" applyNumberFormat="1" applyFont="1" applyBorder="1" applyAlignment="1">
      <alignment horizontal="right" vertical="center" wrapText="1"/>
    </xf>
    <xf numFmtId="3" fontId="1" fillId="0" borderId="139" xfId="5" applyNumberFormat="1" applyBorder="1"/>
    <xf numFmtId="3" fontId="1" fillId="0" borderId="76" xfId="5" applyNumberFormat="1" applyBorder="1"/>
    <xf numFmtId="49" fontId="31" fillId="0" borderId="93" xfId="3" applyNumberFormat="1" applyFont="1" applyBorder="1" applyAlignment="1">
      <alignment horizontal="right" wrapText="1"/>
    </xf>
    <xf numFmtId="3" fontId="31" fillId="0" borderId="123" xfId="3" applyNumberFormat="1" applyFont="1" applyBorder="1" applyAlignment="1">
      <alignment horizontal="right" vertical="center"/>
    </xf>
    <xf numFmtId="3" fontId="7" fillId="0" borderId="93" xfId="5" applyNumberFormat="1" applyFont="1" applyBorder="1" applyAlignment="1">
      <alignment horizontal="right"/>
    </xf>
    <xf numFmtId="3" fontId="7" fillId="0" borderId="123" xfId="5" applyNumberFormat="1" applyFont="1" applyBorder="1" applyAlignment="1">
      <alignment horizontal="right"/>
    </xf>
    <xf numFmtId="3" fontId="7" fillId="0" borderId="127" xfId="5" applyNumberFormat="1" applyFont="1" applyBorder="1"/>
    <xf numFmtId="0" fontId="70" fillId="0" borderId="93" xfId="5" applyFont="1" applyBorder="1" applyAlignment="1">
      <alignment vertical="center" wrapText="1"/>
    </xf>
    <xf numFmtId="3" fontId="66" fillId="0" borderId="159" xfId="3" applyNumberFormat="1" applyFont="1" applyBorder="1"/>
    <xf numFmtId="0" fontId="73" fillId="0" borderId="0" xfId="0" applyFont="1"/>
    <xf numFmtId="3" fontId="31" fillId="0" borderId="125" xfId="3" applyNumberFormat="1" applyFont="1" applyBorder="1" applyAlignment="1">
      <alignment horizontal="right" vertical="center"/>
    </xf>
    <xf numFmtId="3" fontId="31" fillId="0" borderId="0" xfId="3" applyNumberFormat="1" applyFont="1" applyAlignment="1">
      <alignment horizontal="right" vertical="center" wrapText="1"/>
    </xf>
    <xf numFmtId="3" fontId="68" fillId="0" borderId="125" xfId="3" applyNumberFormat="1" applyFont="1" applyBorder="1"/>
    <xf numFmtId="3" fontId="7" fillId="0" borderId="125" xfId="5" applyNumberFormat="1" applyFont="1" applyBorder="1"/>
    <xf numFmtId="3" fontId="66" fillId="0" borderId="154" xfId="3" applyNumberFormat="1" applyFont="1" applyBorder="1"/>
    <xf numFmtId="3" fontId="66" fillId="0" borderId="125" xfId="3" applyNumberFormat="1" applyFont="1" applyBorder="1"/>
    <xf numFmtId="3" fontId="66" fillId="0" borderId="155" xfId="3" applyNumberFormat="1" applyFont="1" applyBorder="1"/>
    <xf numFmtId="3" fontId="66" fillId="0" borderId="126" xfId="3" applyNumberFormat="1" applyFont="1" applyBorder="1"/>
    <xf numFmtId="3" fontId="66" fillId="0" borderId="85" xfId="3" applyNumberFormat="1" applyFont="1" applyBorder="1"/>
    <xf numFmtId="3" fontId="31" fillId="0" borderId="93" xfId="3" applyNumberFormat="1" applyFont="1" applyBorder="1" applyAlignment="1">
      <alignment horizontal="right" vertical="center"/>
    </xf>
    <xf numFmtId="3" fontId="31" fillId="0" borderId="157" xfId="3" applyNumberFormat="1" applyFont="1" applyBorder="1" applyAlignment="1">
      <alignment horizontal="right" vertical="center"/>
    </xf>
    <xf numFmtId="3" fontId="31" fillId="0" borderId="146" xfId="3" applyNumberFormat="1" applyFont="1" applyBorder="1" applyAlignment="1">
      <alignment horizontal="right" vertical="center" wrapText="1"/>
    </xf>
    <xf numFmtId="3" fontId="68" fillId="0" borderId="93" xfId="3" applyNumberFormat="1" applyFont="1" applyBorder="1"/>
    <xf numFmtId="3" fontId="68" fillId="0" borderId="157" xfId="3" applyNumberFormat="1" applyFont="1" applyBorder="1"/>
    <xf numFmtId="3" fontId="66" fillId="0" borderId="71" xfId="3" applyNumberFormat="1" applyFont="1" applyBorder="1"/>
    <xf numFmtId="3" fontId="66" fillId="0" borderId="63" xfId="3" applyNumberFormat="1" applyFont="1" applyBorder="1"/>
    <xf numFmtId="3" fontId="66" fillId="0" borderId="98" xfId="3" applyNumberFormat="1" applyFont="1" applyBorder="1"/>
    <xf numFmtId="3" fontId="66" fillId="0" borderId="69" xfId="3" applyNumberFormat="1" applyFont="1" applyBorder="1"/>
    <xf numFmtId="3" fontId="66" fillId="0" borderId="96" xfId="3" applyNumberFormat="1" applyFont="1" applyBorder="1"/>
    <xf numFmtId="3" fontId="66" fillId="0" borderId="119" xfId="3" applyNumberFormat="1" applyFont="1" applyBorder="1"/>
    <xf numFmtId="3" fontId="66" fillId="0" borderId="66" xfId="3" applyNumberFormat="1" applyFont="1" applyBorder="1"/>
    <xf numFmtId="3" fontId="66" fillId="0" borderId="93" xfId="3" applyNumberFormat="1" applyFont="1" applyBorder="1"/>
    <xf numFmtId="3" fontId="66" fillId="0" borderId="157" xfId="3" applyNumberFormat="1" applyFont="1" applyBorder="1"/>
    <xf numFmtId="3" fontId="66" fillId="0" borderId="138" xfId="3" applyNumberFormat="1" applyFont="1" applyBorder="1"/>
    <xf numFmtId="3" fontId="66" fillId="0" borderId="162" xfId="3" applyNumberFormat="1" applyFont="1" applyBorder="1"/>
    <xf numFmtId="49" fontId="21" fillId="0" borderId="74" xfId="5" applyNumberFormat="1" applyFont="1" applyBorder="1" applyAlignment="1">
      <alignment horizontal="center" vertical="center" wrapText="1"/>
    </xf>
    <xf numFmtId="3" fontId="7" fillId="0" borderId="138" xfId="5" applyNumberFormat="1" applyFont="1" applyBorder="1"/>
    <xf numFmtId="3" fontId="7" fillId="0" borderId="159" xfId="5" applyNumberFormat="1" applyFont="1" applyBorder="1"/>
    <xf numFmtId="3" fontId="1" fillId="0" borderId="83" xfId="5" applyNumberFormat="1" applyBorder="1"/>
    <xf numFmtId="3" fontId="71" fillId="0" borderId="114" xfId="5" applyNumberFormat="1" applyFont="1" applyBorder="1"/>
    <xf numFmtId="49" fontId="65" fillId="0" borderId="84" xfId="5" applyNumberFormat="1" applyFont="1" applyBorder="1" applyAlignment="1">
      <alignment horizontal="center" vertical="center" wrapText="1"/>
    </xf>
    <xf numFmtId="49" fontId="65" fillId="0" borderId="122" xfId="5" applyNumberFormat="1" applyFont="1" applyBorder="1" applyAlignment="1">
      <alignment horizontal="center" vertical="center" wrapText="1"/>
    </xf>
    <xf numFmtId="3" fontId="7" fillId="0" borderId="86" xfId="5" applyNumberFormat="1" applyFont="1" applyBorder="1" applyAlignment="1">
      <alignment horizontal="right"/>
    </xf>
    <xf numFmtId="3" fontId="7" fillId="0" borderId="86" xfId="5" applyNumberFormat="1" applyFont="1" applyBorder="1"/>
    <xf numFmtId="3" fontId="1" fillId="0" borderId="156" xfId="5" applyNumberFormat="1" applyBorder="1"/>
    <xf numFmtId="49" fontId="21" fillId="0" borderId="87" xfId="5" applyNumberFormat="1" applyFont="1" applyBorder="1" applyAlignment="1">
      <alignment horizontal="center" vertical="center" wrapText="1"/>
    </xf>
    <xf numFmtId="3" fontId="1" fillId="0" borderId="90" xfId="5" applyNumberFormat="1" applyBorder="1"/>
    <xf numFmtId="3" fontId="1" fillId="0" borderId="86" xfId="5" applyNumberFormat="1" applyBorder="1"/>
    <xf numFmtId="3" fontId="7" fillId="0" borderId="90" xfId="5" applyNumberFormat="1" applyFont="1" applyBorder="1"/>
    <xf numFmtId="3" fontId="1" fillId="0" borderId="87" xfId="5" applyNumberFormat="1" applyBorder="1"/>
    <xf numFmtId="3" fontId="7" fillId="0" borderId="167" xfId="5" applyNumberFormat="1" applyFont="1" applyBorder="1"/>
    <xf numFmtId="3" fontId="66" fillId="0" borderId="86" xfId="3" applyNumberFormat="1" applyFont="1" applyBorder="1"/>
    <xf numFmtId="0" fontId="59" fillId="0" borderId="93" xfId="0" applyFont="1" applyBorder="1"/>
    <xf numFmtId="0" fontId="59" fillId="0" borderId="157" xfId="0" applyFont="1" applyBorder="1"/>
    <xf numFmtId="0" fontId="13" fillId="0" borderId="0" xfId="0" applyFont="1"/>
    <xf numFmtId="0" fontId="31" fillId="0" borderId="70"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131" xfId="0" applyFont="1" applyBorder="1" applyAlignment="1">
      <alignment horizontal="center" vertical="center" wrapText="1"/>
    </xf>
    <xf numFmtId="0" fontId="74" fillId="0" borderId="127" xfId="0" applyFont="1" applyBorder="1" applyAlignment="1">
      <alignment horizontal="center" vertical="center" wrapText="1"/>
    </xf>
    <xf numFmtId="0" fontId="74" fillId="0" borderId="84" xfId="0" applyFont="1" applyBorder="1" applyAlignment="1">
      <alignment horizontal="center" vertical="center" wrapText="1"/>
    </xf>
    <xf numFmtId="3" fontId="1" fillId="0" borderId="76" xfId="5" applyNumberFormat="1" applyBorder="1" applyAlignment="1">
      <alignment horizontal="right" vertical="center"/>
    </xf>
    <xf numFmtId="0" fontId="13" fillId="0" borderId="139" xfId="0" applyFont="1" applyBorder="1"/>
    <xf numFmtId="0" fontId="13" fillId="0" borderId="76" xfId="0" applyFont="1" applyBorder="1"/>
    <xf numFmtId="0" fontId="13" fillId="0" borderId="86" xfId="0" applyFont="1" applyBorder="1"/>
    <xf numFmtId="0" fontId="13" fillId="0" borderId="85" xfId="0" applyFont="1" applyBorder="1"/>
    <xf numFmtId="0" fontId="13" fillId="0" borderId="98" xfId="0" applyFont="1" applyBorder="1"/>
    <xf numFmtId="0" fontId="13" fillId="0" borderId="65" xfId="0" applyFont="1" applyBorder="1"/>
    <xf numFmtId="0" fontId="13" fillId="0" borderId="156" xfId="0" applyFont="1" applyBorder="1"/>
    <xf numFmtId="0" fontId="13" fillId="0" borderId="168" xfId="0" applyFont="1" applyBorder="1"/>
    <xf numFmtId="0" fontId="13" fillId="0" borderId="72" xfId="0" applyFont="1" applyBorder="1"/>
    <xf numFmtId="0" fontId="13" fillId="0" borderId="68" xfId="0" applyFont="1" applyBorder="1"/>
    <xf numFmtId="0" fontId="13" fillId="0" borderId="133" xfId="0" applyFont="1" applyBorder="1"/>
    <xf numFmtId="0" fontId="13" fillId="0" borderId="164" xfId="0" applyFont="1" applyBorder="1"/>
    <xf numFmtId="0" fontId="13" fillId="0" borderId="121" xfId="0" applyFont="1" applyBorder="1"/>
    <xf numFmtId="0" fontId="13" fillId="0" borderId="152" xfId="0" applyFont="1" applyBorder="1"/>
    <xf numFmtId="0" fontId="13" fillId="0" borderId="74" xfId="0" applyFont="1" applyBorder="1"/>
    <xf numFmtId="0" fontId="13" fillId="0" borderId="87" xfId="0" applyFont="1" applyBorder="1"/>
    <xf numFmtId="0" fontId="13" fillId="0" borderId="84" xfId="0" applyFont="1" applyBorder="1"/>
    <xf numFmtId="0" fontId="13" fillId="0" borderId="91" xfId="0" applyFont="1" applyBorder="1"/>
    <xf numFmtId="0" fontId="13" fillId="0" borderId="127" xfId="0" applyFont="1" applyBorder="1"/>
    <xf numFmtId="0" fontId="13" fillId="0" borderId="90" xfId="0" applyFont="1" applyBorder="1"/>
    <xf numFmtId="0" fontId="13" fillId="0" borderId="83" xfId="0" applyFont="1" applyBorder="1"/>
    <xf numFmtId="0" fontId="77" fillId="0" borderId="123" xfId="0" applyFont="1" applyBorder="1"/>
    <xf numFmtId="3" fontId="77" fillId="0" borderId="123" xfId="0" applyNumberFormat="1" applyFont="1" applyBorder="1"/>
    <xf numFmtId="3" fontId="77" fillId="0" borderId="94" xfId="0" applyNumberFormat="1" applyFont="1" applyBorder="1"/>
    <xf numFmtId="3" fontId="77" fillId="0" borderId="93" xfId="0" applyNumberFormat="1" applyFont="1" applyBorder="1"/>
    <xf numFmtId="3" fontId="77" fillId="0" borderId="157" xfId="0" applyNumberFormat="1" applyFont="1" applyBorder="1"/>
    <xf numFmtId="3" fontId="77" fillId="0" borderId="85" xfId="0" applyNumberFormat="1" applyFont="1" applyBorder="1"/>
    <xf numFmtId="3" fontId="77" fillId="0" borderId="86" xfId="0" applyNumberFormat="1" applyFont="1" applyBorder="1"/>
    <xf numFmtId="0" fontId="77" fillId="0" borderId="0" xfId="0" applyFont="1"/>
    <xf numFmtId="3" fontId="78" fillId="0" borderId="93" xfId="0" applyNumberFormat="1" applyFont="1" applyBorder="1"/>
    <xf numFmtId="3" fontId="78" fillId="0" borderId="123" xfId="0" applyNumberFormat="1" applyFont="1" applyBorder="1"/>
    <xf numFmtId="3" fontId="78" fillId="0" borderId="94" xfId="0" applyNumberFormat="1" applyFont="1" applyBorder="1"/>
    <xf numFmtId="3" fontId="78" fillId="0" borderId="85" xfId="0" applyNumberFormat="1" applyFont="1" applyBorder="1"/>
    <xf numFmtId="3" fontId="78" fillId="0" borderId="86" xfId="0" applyNumberFormat="1" applyFont="1" applyBorder="1"/>
    <xf numFmtId="0" fontId="78" fillId="0" borderId="0" xfId="0" applyFont="1"/>
    <xf numFmtId="0" fontId="31" fillId="0" borderId="94" xfId="3" applyFont="1" applyBorder="1" applyAlignment="1">
      <alignment horizontal="right" vertical="center"/>
    </xf>
    <xf numFmtId="0" fontId="29" fillId="0" borderId="147" xfId="3" applyFont="1" applyBorder="1" applyAlignment="1">
      <alignment horizontal="left" vertical="center"/>
    </xf>
    <xf numFmtId="3" fontId="67" fillId="0" borderId="94" xfId="3" applyNumberFormat="1" applyFont="1" applyBorder="1"/>
    <xf numFmtId="0" fontId="31" fillId="0" borderId="143" xfId="3" applyFont="1" applyBorder="1"/>
    <xf numFmtId="0" fontId="31" fillId="0" borderId="137" xfId="3" applyFont="1" applyBorder="1"/>
    <xf numFmtId="0" fontId="75" fillId="0" borderId="94" xfId="6" applyFont="1" applyBorder="1"/>
    <xf numFmtId="0" fontId="76" fillId="0" borderId="94" xfId="6" applyFont="1" applyBorder="1"/>
    <xf numFmtId="0" fontId="31" fillId="0" borderId="125" xfId="5" applyFont="1" applyBorder="1"/>
    <xf numFmtId="0" fontId="69" fillId="0" borderId="0" xfId="5" applyFont="1"/>
    <xf numFmtId="0" fontId="69" fillId="0" borderId="155" xfId="5" applyFont="1" applyBorder="1"/>
    <xf numFmtId="0" fontId="31" fillId="0" borderId="94" xfId="5" applyFont="1" applyBorder="1"/>
    <xf numFmtId="0" fontId="31" fillId="0" borderId="63" xfId="3" applyFont="1" applyBorder="1" applyAlignment="1">
      <alignment vertical="center"/>
    </xf>
    <xf numFmtId="3" fontId="31" fillId="0" borderId="139" xfId="3" applyNumberFormat="1" applyFont="1" applyBorder="1" applyAlignment="1">
      <alignment horizontal="right" vertical="center"/>
    </xf>
    <xf numFmtId="3" fontId="31" fillId="0" borderId="146" xfId="5" applyNumberFormat="1" applyFont="1" applyBorder="1" applyAlignment="1">
      <alignment horizontal="right" vertical="center" wrapText="1"/>
    </xf>
    <xf numFmtId="3" fontId="31" fillId="0" borderId="98" xfId="3" applyNumberFormat="1" applyFont="1" applyBorder="1"/>
    <xf numFmtId="4" fontId="34" fillId="0" borderId="6" xfId="0" applyNumberFormat="1" applyFont="1" applyBorder="1"/>
    <xf numFmtId="3" fontId="1" fillId="0" borderId="163" xfId="1" applyNumberFormat="1" applyBorder="1"/>
    <xf numFmtId="0" fontId="56" fillId="0" borderId="71" xfId="0" applyFont="1" applyBorder="1" applyAlignment="1">
      <alignment horizontal="center" vertical="center"/>
    </xf>
    <xf numFmtId="0" fontId="56" fillId="0" borderId="158" xfId="0" applyFont="1" applyBorder="1"/>
    <xf numFmtId="4" fontId="56" fillId="0" borderId="171" xfId="0" applyNumberFormat="1" applyFont="1" applyBorder="1"/>
    <xf numFmtId="4" fontId="56" fillId="0" borderId="129" xfId="0" applyNumberFormat="1" applyFont="1" applyBorder="1"/>
    <xf numFmtId="0" fontId="56" fillId="0" borderId="96" xfId="0" applyFont="1" applyBorder="1" applyAlignment="1">
      <alignment horizontal="center" vertical="center"/>
    </xf>
    <xf numFmtId="0" fontId="81" fillId="0" borderId="93" xfId="0" applyFont="1" applyBorder="1" applyAlignment="1">
      <alignment vertical="center"/>
    </xf>
    <xf numFmtId="0" fontId="59" fillId="0" borderId="86" xfId="0" applyFont="1" applyBorder="1" applyAlignment="1">
      <alignment vertical="center"/>
    </xf>
    <xf numFmtId="0" fontId="60" fillId="0" borderId="0" xfId="0" applyFont="1" applyAlignment="1">
      <alignment vertical="center"/>
    </xf>
    <xf numFmtId="0" fontId="31" fillId="0" borderId="131" xfId="3" applyFont="1" applyBorder="1" applyAlignment="1">
      <alignment horizontal="center" vertical="center" wrapText="1"/>
    </xf>
    <xf numFmtId="3" fontId="59" fillId="0" borderId="75" xfId="0" applyNumberFormat="1" applyFont="1" applyBorder="1" applyAlignment="1">
      <alignment horizontal="center" vertical="center" wrapText="1"/>
    </xf>
    <xf numFmtId="3" fontId="59" fillId="0" borderId="159" xfId="0" applyNumberFormat="1" applyFont="1" applyBorder="1" applyAlignment="1">
      <alignment horizontal="center" vertical="center" wrapText="1"/>
    </xf>
    <xf numFmtId="3" fontId="59" fillId="0" borderId="93" xfId="0" applyNumberFormat="1" applyFont="1" applyBorder="1" applyAlignment="1">
      <alignment horizontal="center" vertical="center" wrapText="1"/>
    </xf>
    <xf numFmtId="3" fontId="59" fillId="0" borderId="123" xfId="0" applyNumberFormat="1" applyFont="1" applyBorder="1" applyAlignment="1">
      <alignment horizontal="center" vertical="center" wrapText="1"/>
    </xf>
    <xf numFmtId="3" fontId="59" fillId="0" borderId="157" xfId="0" applyNumberFormat="1" applyFont="1" applyBorder="1" applyAlignment="1">
      <alignment horizontal="center" vertical="center" wrapText="1"/>
    </xf>
    <xf numFmtId="3" fontId="59" fillId="15" borderId="113" xfId="0" applyNumberFormat="1" applyFont="1" applyFill="1" applyBorder="1" applyAlignment="1">
      <alignment horizontal="right" vertical="center" wrapText="1"/>
    </xf>
    <xf numFmtId="3" fontId="59" fillId="15" borderId="93" xfId="0" applyNumberFormat="1" applyFont="1" applyFill="1" applyBorder="1" applyAlignment="1">
      <alignment horizontal="right" vertical="center" wrapText="1"/>
    </xf>
    <xf numFmtId="3" fontId="59" fillId="15" borderId="123" xfId="0" applyNumberFormat="1" applyFont="1" applyFill="1" applyBorder="1" applyAlignment="1">
      <alignment horizontal="center" vertical="center" wrapText="1"/>
    </xf>
    <xf numFmtId="3" fontId="59" fillId="15" borderId="136" xfId="0" applyNumberFormat="1" applyFont="1" applyFill="1" applyBorder="1" applyAlignment="1">
      <alignment horizontal="right" vertical="center" wrapText="1"/>
    </xf>
    <xf numFmtId="3" fontId="59" fillId="15" borderId="123" xfId="0" applyNumberFormat="1" applyFont="1" applyFill="1" applyBorder="1" applyAlignment="1">
      <alignment horizontal="right" vertical="center" wrapText="1"/>
    </xf>
    <xf numFmtId="3" fontId="59" fillId="15" borderId="86" xfId="0" applyNumberFormat="1" applyFont="1" applyFill="1" applyBorder="1" applyAlignment="1">
      <alignment vertical="center" wrapText="1"/>
    </xf>
    <xf numFmtId="3" fontId="59" fillId="15" borderId="113" xfId="0" applyNumberFormat="1" applyFont="1" applyFill="1" applyBorder="1" applyAlignment="1">
      <alignment vertical="center" wrapText="1"/>
    </xf>
    <xf numFmtId="3" fontId="59" fillId="15" borderId="93" xfId="0" applyNumberFormat="1" applyFont="1" applyFill="1" applyBorder="1" applyAlignment="1">
      <alignment vertical="center" wrapText="1"/>
    </xf>
    <xf numFmtId="3" fontId="59" fillId="15" borderId="123" xfId="0" applyNumberFormat="1" applyFont="1" applyFill="1" applyBorder="1" applyAlignment="1">
      <alignment vertical="center" wrapText="1"/>
    </xf>
    <xf numFmtId="3" fontId="51" fillId="0" borderId="96" xfId="0" applyNumberFormat="1" applyFont="1" applyBorder="1"/>
    <xf numFmtId="3" fontId="51" fillId="0" borderId="97" xfId="0" applyNumberFormat="1" applyFont="1" applyBorder="1"/>
    <xf numFmtId="3" fontId="51" fillId="0" borderId="145" xfId="0" applyNumberFormat="1" applyFont="1" applyBorder="1"/>
    <xf numFmtId="3" fontId="57" fillId="0" borderId="71" xfId="0" applyNumberFormat="1" applyFont="1" applyBorder="1"/>
    <xf numFmtId="3" fontId="51" fillId="0" borderId="55" xfId="0" applyNumberFormat="1" applyFont="1" applyBorder="1"/>
    <xf numFmtId="3" fontId="51" fillId="0" borderId="63" xfId="0" applyNumberFormat="1" applyFont="1" applyBorder="1"/>
    <xf numFmtId="3" fontId="57" fillId="0" borderId="128" xfId="0" applyNumberFormat="1" applyFont="1" applyBorder="1"/>
    <xf numFmtId="3" fontId="57" fillId="0" borderId="55" xfId="0" applyNumberFormat="1" applyFont="1" applyBorder="1"/>
    <xf numFmtId="3" fontId="57" fillId="0" borderId="62" xfId="0" applyNumberFormat="1" applyFont="1" applyBorder="1"/>
    <xf numFmtId="3" fontId="57" fillId="0" borderId="63" xfId="0" applyNumberFormat="1" applyFont="1" applyBorder="1"/>
    <xf numFmtId="0" fontId="57" fillId="0" borderId="71" xfId="0" applyFont="1" applyBorder="1" applyAlignment="1">
      <alignment horizontal="center" vertical="center"/>
    </xf>
    <xf numFmtId="3" fontId="57" fillId="0" borderId="154" xfId="0" applyNumberFormat="1" applyFont="1" applyBorder="1"/>
    <xf numFmtId="3" fontId="57" fillId="0" borderId="98" xfId="0" applyNumberFormat="1" applyFont="1" applyBorder="1"/>
    <xf numFmtId="3" fontId="57" fillId="0" borderId="65" xfId="0" applyNumberFormat="1" applyFont="1" applyBorder="1"/>
    <xf numFmtId="3" fontId="57" fillId="0" borderId="64" xfId="0" applyNumberFormat="1" applyFont="1" applyBorder="1"/>
    <xf numFmtId="3" fontId="57" fillId="0" borderId="66" xfId="0" applyNumberFormat="1" applyFont="1" applyBorder="1"/>
    <xf numFmtId="3" fontId="59" fillId="15" borderId="85" xfId="0" applyNumberFormat="1" applyFont="1" applyFill="1" applyBorder="1"/>
    <xf numFmtId="3" fontId="59" fillId="15" borderId="93" xfId="0" applyNumberFormat="1" applyFont="1" applyFill="1" applyBorder="1"/>
    <xf numFmtId="3" fontId="59" fillId="15" borderId="136" xfId="0" applyNumberFormat="1" applyFont="1" applyFill="1" applyBorder="1"/>
    <xf numFmtId="3" fontId="59" fillId="15" borderId="86" xfId="0" applyNumberFormat="1" applyFont="1" applyFill="1" applyBorder="1"/>
    <xf numFmtId="3" fontId="57" fillId="0" borderId="132" xfId="0" applyNumberFormat="1" applyFont="1" applyBorder="1"/>
    <xf numFmtId="3" fontId="57" fillId="0" borderId="72" xfId="0" applyNumberFormat="1" applyFont="1" applyBorder="1"/>
    <xf numFmtId="3" fontId="57" fillId="0" borderId="68" xfId="0" applyNumberFormat="1" applyFont="1" applyBorder="1"/>
    <xf numFmtId="3" fontId="57" fillId="0" borderId="133" xfId="0" applyNumberFormat="1" applyFont="1" applyBorder="1"/>
    <xf numFmtId="3" fontId="20" fillId="0" borderId="136" xfId="0" applyNumberFormat="1" applyFont="1" applyBorder="1"/>
    <xf numFmtId="3" fontId="20" fillId="0" borderId="123" xfId="0" applyNumberFormat="1" applyFont="1" applyBorder="1"/>
    <xf numFmtId="3" fontId="20" fillId="0" borderId="93" xfId="0" applyNumberFormat="1" applyFont="1" applyBorder="1"/>
    <xf numFmtId="3" fontId="20" fillId="0" borderId="86" xfId="0" applyNumberFormat="1" applyFont="1" applyBorder="1"/>
    <xf numFmtId="3" fontId="57" fillId="0" borderId="156" xfId="0" applyNumberFormat="1" applyFont="1" applyBorder="1"/>
    <xf numFmtId="0" fontId="56" fillId="0" borderId="133" xfId="0" applyFont="1" applyBorder="1"/>
    <xf numFmtId="3" fontId="59" fillId="15" borderId="136" xfId="0" applyNumberFormat="1" applyFont="1" applyFill="1" applyBorder="1" applyAlignment="1">
      <alignment vertical="center" wrapText="1"/>
    </xf>
    <xf numFmtId="3" fontId="51" fillId="0" borderId="71" xfId="0" applyNumberFormat="1" applyFont="1" applyBorder="1"/>
    <xf numFmtId="3" fontId="51" fillId="0" borderId="62" xfId="0" applyNumberFormat="1" applyFont="1" applyBorder="1"/>
    <xf numFmtId="3" fontId="51" fillId="0" borderId="168" xfId="0" applyNumberFormat="1" applyFont="1" applyBorder="1"/>
    <xf numFmtId="3" fontId="34" fillId="0" borderId="171" xfId="0" applyNumberFormat="1" applyFont="1" applyBorder="1"/>
    <xf numFmtId="3" fontId="34" fillId="0" borderId="129" xfId="0" applyNumberFormat="1" applyFont="1" applyBorder="1"/>
    <xf numFmtId="3" fontId="51" fillId="0" borderId="120" xfId="0" applyNumberFormat="1" applyFont="1" applyBorder="1"/>
    <xf numFmtId="49" fontId="21" fillId="0" borderId="152" xfId="5" applyNumberFormat="1" applyFont="1" applyBorder="1" applyAlignment="1">
      <alignment horizontal="center" vertical="center" wrapText="1"/>
    </xf>
    <xf numFmtId="4" fontId="34" fillId="0" borderId="13" xfId="0" applyNumberFormat="1" applyFont="1" applyBorder="1"/>
    <xf numFmtId="3" fontId="2" fillId="0" borderId="86" xfId="1" applyNumberFormat="1" applyFont="1" applyBorder="1" applyAlignment="1">
      <alignment horizontal="right"/>
    </xf>
    <xf numFmtId="3" fontId="21" fillId="0" borderId="139" xfId="1" applyNumberFormat="1" applyFont="1" applyBorder="1" applyAlignment="1">
      <alignment horizontal="center" vertical="center" wrapText="1"/>
    </xf>
    <xf numFmtId="3" fontId="21" fillId="0" borderId="135" xfId="1" applyNumberFormat="1" applyFont="1" applyBorder="1" applyAlignment="1">
      <alignment horizontal="center" vertical="center" wrapText="1"/>
    </xf>
    <xf numFmtId="3" fontId="21" fillId="0" borderId="90" xfId="1" applyNumberFormat="1" applyFont="1" applyBorder="1" applyAlignment="1">
      <alignment horizontal="center" vertical="center" wrapText="1"/>
    </xf>
    <xf numFmtId="4" fontId="14" fillId="0" borderId="86" xfId="0" applyNumberFormat="1" applyFont="1" applyBorder="1" applyAlignment="1">
      <alignment horizontal="right"/>
    </xf>
    <xf numFmtId="4" fontId="14" fillId="0" borderId="87" xfId="0" applyNumberFormat="1" applyFont="1" applyBorder="1" applyAlignment="1">
      <alignment horizontal="right"/>
    </xf>
    <xf numFmtId="4" fontId="20" fillId="0" borderId="187" xfId="0" applyNumberFormat="1" applyFont="1" applyBorder="1" applyAlignment="1">
      <alignment horizontal="right"/>
    </xf>
    <xf numFmtId="4" fontId="58" fillId="0" borderId="191" xfId="0" applyNumberFormat="1" applyFont="1" applyBorder="1" applyAlignment="1">
      <alignment horizontal="right"/>
    </xf>
    <xf numFmtId="3" fontId="51" fillId="0" borderId="135" xfId="1" applyNumberFormat="1" applyFont="1" applyBorder="1"/>
    <xf numFmtId="0" fontId="23" fillId="0" borderId="192" xfId="1" applyFont="1" applyBorder="1"/>
    <xf numFmtId="0" fontId="24" fillId="0" borderId="193" xfId="1" applyFont="1" applyBorder="1"/>
    <xf numFmtId="3" fontId="21" fillId="0" borderId="194" xfId="1" applyNumberFormat="1" applyFont="1" applyBorder="1" applyAlignment="1">
      <alignment horizontal="center" vertical="center" wrapText="1"/>
    </xf>
    <xf numFmtId="3" fontId="21" fillId="0" borderId="195" xfId="1" applyNumberFormat="1" applyFont="1" applyBorder="1" applyAlignment="1">
      <alignment horizontal="center" vertical="center" wrapText="1"/>
    </xf>
    <xf numFmtId="3" fontId="21" fillId="0" borderId="89" xfId="1" applyNumberFormat="1" applyFont="1" applyBorder="1" applyAlignment="1">
      <alignment horizontal="center" vertical="center" wrapText="1"/>
    </xf>
    <xf numFmtId="3" fontId="21" fillId="0" borderId="0" xfId="1" applyNumberFormat="1" applyFont="1" applyAlignment="1">
      <alignment horizontal="center" vertical="center" wrapText="1"/>
    </xf>
    <xf numFmtId="3" fontId="2" fillId="0" borderId="196" xfId="1" applyNumberFormat="1" applyFont="1" applyBorder="1" applyAlignment="1">
      <alignment horizontal="right"/>
    </xf>
    <xf numFmtId="3" fontId="2" fillId="0" borderId="93" xfId="1" applyNumberFormat="1" applyFont="1" applyBorder="1" applyAlignment="1">
      <alignment horizontal="right"/>
    </xf>
    <xf numFmtId="3" fontId="2" fillId="0" borderId="123" xfId="1" applyNumberFormat="1" applyFont="1" applyBorder="1" applyAlignment="1">
      <alignment horizontal="right"/>
    </xf>
    <xf numFmtId="0" fontId="83" fillId="0" borderId="0" xfId="1" applyFont="1"/>
    <xf numFmtId="3" fontId="83" fillId="0" borderId="0" xfId="1" applyNumberFormat="1" applyFont="1"/>
    <xf numFmtId="3" fontId="83" fillId="0" borderId="163" xfId="1" applyNumberFormat="1" applyFont="1" applyBorder="1"/>
    <xf numFmtId="3" fontId="83" fillId="0" borderId="90" xfId="1" applyNumberFormat="1" applyFont="1" applyBorder="1"/>
    <xf numFmtId="3" fontId="2" fillId="0" borderId="113" xfId="1" applyNumberFormat="1" applyFont="1" applyBorder="1" applyAlignment="1">
      <alignment horizontal="right"/>
    </xf>
    <xf numFmtId="3" fontId="83" fillId="0" borderId="113" xfId="1" applyNumberFormat="1" applyFont="1" applyBorder="1"/>
    <xf numFmtId="3" fontId="83" fillId="0" borderId="125" xfId="1" applyNumberFormat="1" applyFont="1" applyBorder="1"/>
    <xf numFmtId="3" fontId="83" fillId="0" borderId="86" xfId="1" applyNumberFormat="1" applyFont="1" applyBorder="1"/>
    <xf numFmtId="4" fontId="14" fillId="0" borderId="95" xfId="1" applyNumberFormat="1" applyFont="1" applyBorder="1" applyAlignment="1">
      <alignment horizontal="center" wrapText="1"/>
    </xf>
    <xf numFmtId="4" fontId="34" fillId="0" borderId="9" xfId="0" applyNumberFormat="1" applyFont="1" applyBorder="1"/>
    <xf numFmtId="4" fontId="51" fillId="0" borderId="0" xfId="0" applyNumberFormat="1" applyFont="1"/>
    <xf numFmtId="4" fontId="20" fillId="0" borderId="197" xfId="0" applyNumberFormat="1" applyFont="1" applyBorder="1" applyAlignment="1">
      <alignment horizontal="center" wrapText="1"/>
    </xf>
    <xf numFmtId="4" fontId="20" fillId="0" borderId="198" xfId="0" applyNumberFormat="1" applyFont="1" applyBorder="1" applyAlignment="1">
      <alignment horizontal="right"/>
    </xf>
    <xf numFmtId="4" fontId="14" fillId="0" borderId="199" xfId="0" applyNumberFormat="1" applyFont="1" applyBorder="1" applyAlignment="1">
      <alignment horizontal="right"/>
    </xf>
    <xf numFmtId="4" fontId="14" fillId="0" borderId="90" xfId="0" applyNumberFormat="1" applyFont="1" applyBorder="1"/>
    <xf numFmtId="4" fontId="14" fillId="0" borderId="130" xfId="0" applyNumberFormat="1" applyFont="1" applyBorder="1" applyAlignment="1">
      <alignment horizontal="right"/>
    </xf>
    <xf numFmtId="4" fontId="14" fillId="0" borderId="156" xfId="0" applyNumberFormat="1" applyFont="1" applyBorder="1"/>
    <xf numFmtId="4" fontId="34" fillId="0" borderId="90" xfId="0" applyNumberFormat="1" applyFont="1" applyBorder="1"/>
    <xf numFmtId="4" fontId="20" fillId="0" borderId="200" xfId="0" applyNumberFormat="1" applyFont="1" applyBorder="1" applyAlignment="1">
      <alignment horizontal="right"/>
    </xf>
    <xf numFmtId="4" fontId="34" fillId="0" borderId="87" xfId="0" applyNumberFormat="1" applyFont="1" applyBorder="1"/>
    <xf numFmtId="3" fontId="34" fillId="0" borderId="114" xfId="0" applyNumberFormat="1" applyFont="1" applyBorder="1"/>
    <xf numFmtId="3" fontId="34" fillId="0" borderId="120" xfId="0" applyNumberFormat="1" applyFont="1" applyBorder="1"/>
    <xf numFmtId="3" fontId="34" fillId="0" borderId="168" xfId="0" applyNumberFormat="1" applyFont="1" applyBorder="1"/>
    <xf numFmtId="3" fontId="34" fillId="0" borderId="121" xfId="0" applyNumberFormat="1" applyFont="1" applyBorder="1"/>
    <xf numFmtId="3" fontId="14" fillId="0" borderId="85" xfId="0" applyNumberFormat="1" applyFont="1" applyBorder="1"/>
    <xf numFmtId="4" fontId="58" fillId="0" borderId="142" xfId="0" applyNumberFormat="1" applyFont="1" applyBorder="1" applyAlignment="1">
      <alignment horizontal="right"/>
    </xf>
    <xf numFmtId="4" fontId="20" fillId="0" borderId="186" xfId="0" applyNumberFormat="1" applyFont="1" applyBorder="1" applyAlignment="1">
      <alignment horizontal="center" wrapText="1"/>
    </xf>
    <xf numFmtId="4" fontId="14" fillId="0" borderId="188" xfId="0" applyNumberFormat="1" applyFont="1" applyBorder="1" applyAlignment="1">
      <alignment horizontal="right"/>
    </xf>
    <xf numFmtId="4" fontId="14" fillId="0" borderId="83" xfId="0" applyNumberFormat="1" applyFont="1" applyBorder="1"/>
    <xf numFmtId="4" fontId="14" fillId="0" borderId="189" xfId="0" applyNumberFormat="1" applyFont="1" applyBorder="1" applyAlignment="1">
      <alignment horizontal="right"/>
    </xf>
    <xf numFmtId="4" fontId="34" fillId="0" borderId="201" xfId="0" applyNumberFormat="1" applyFont="1" applyBorder="1"/>
    <xf numFmtId="4" fontId="14" fillId="0" borderId="168" xfId="0" applyNumberFormat="1" applyFont="1" applyBorder="1"/>
    <xf numFmtId="4" fontId="20" fillId="0" borderId="190" xfId="0" applyNumberFormat="1" applyFont="1" applyBorder="1" applyAlignment="1">
      <alignment horizontal="right"/>
    </xf>
    <xf numFmtId="4" fontId="34" fillId="0" borderId="202" xfId="0" applyNumberFormat="1" applyFont="1" applyBorder="1"/>
    <xf numFmtId="0" fontId="84" fillId="0" borderId="0" xfId="0" applyFont="1"/>
    <xf numFmtId="0" fontId="56" fillId="0" borderId="98" xfId="0" applyFont="1" applyBorder="1" applyAlignment="1">
      <alignment horizontal="center" vertical="center"/>
    </xf>
    <xf numFmtId="0" fontId="87" fillId="0" borderId="34" xfId="0" applyFont="1" applyBorder="1" applyAlignment="1">
      <alignment horizontal="left"/>
    </xf>
    <xf numFmtId="0" fontId="34" fillId="0" borderId="7" xfId="0" applyFont="1" applyBorder="1"/>
    <xf numFmtId="0" fontId="34" fillId="0" borderId="5" xfId="0" applyFont="1" applyBorder="1" applyAlignment="1">
      <alignment horizontal="left"/>
    </xf>
    <xf numFmtId="0" fontId="34" fillId="0" borderId="83" xfId="0" applyFont="1" applyBorder="1" applyAlignment="1">
      <alignment horizontal="left"/>
    </xf>
    <xf numFmtId="0" fontId="34" fillId="0" borderId="84" xfId="0" applyFont="1" applyBorder="1" applyAlignment="1">
      <alignment horizontal="left"/>
    </xf>
    <xf numFmtId="0" fontId="51" fillId="0" borderId="0" xfId="0" applyFont="1"/>
    <xf numFmtId="4" fontId="51" fillId="0" borderId="83" xfId="0" applyNumberFormat="1" applyFont="1" applyBorder="1"/>
    <xf numFmtId="4" fontId="59" fillId="0" borderId="85" xfId="0" applyNumberFormat="1" applyFont="1" applyBorder="1" applyAlignment="1">
      <alignment horizontal="center" vertical="center" wrapText="1"/>
    </xf>
    <xf numFmtId="0" fontId="14" fillId="0" borderId="85" xfId="0" applyFont="1" applyBorder="1" applyAlignment="1">
      <alignment horizontal="center" vertical="center" wrapText="1"/>
    </xf>
    <xf numFmtId="3" fontId="59" fillId="0" borderId="139" xfId="0" applyNumberFormat="1" applyFont="1" applyBorder="1"/>
    <xf numFmtId="3" fontId="59" fillId="0" borderId="135" xfId="0" applyNumberFormat="1" applyFont="1" applyBorder="1"/>
    <xf numFmtId="3" fontId="56" fillId="0" borderId="83" xfId="0" applyNumberFormat="1" applyFont="1" applyBorder="1"/>
    <xf numFmtId="3" fontId="57" fillId="0" borderId="90" xfId="0" applyNumberFormat="1" applyFont="1" applyBorder="1"/>
    <xf numFmtId="3" fontId="31" fillId="0" borderId="96" xfId="3" applyNumberFormat="1" applyFont="1" applyBorder="1"/>
    <xf numFmtId="3" fontId="66" fillId="0" borderId="61" xfId="3" applyNumberFormat="1" applyFont="1" applyBorder="1"/>
    <xf numFmtId="3" fontId="1" fillId="0" borderId="158" xfId="5" applyNumberFormat="1" applyBorder="1"/>
    <xf numFmtId="49" fontId="69" fillId="0" borderId="71" xfId="3" applyNumberFormat="1" applyFont="1" applyBorder="1"/>
    <xf numFmtId="0" fontId="31" fillId="0" borderId="77" xfId="3" applyFont="1" applyBorder="1"/>
    <xf numFmtId="3" fontId="31" fillId="0" borderId="71" xfId="3" applyNumberFormat="1" applyFont="1" applyBorder="1"/>
    <xf numFmtId="3" fontId="1" fillId="0" borderId="120" xfId="5" applyNumberFormat="1" applyBorder="1"/>
    <xf numFmtId="3" fontId="1" fillId="0" borderId="71" xfId="5" applyNumberFormat="1" applyBorder="1"/>
    <xf numFmtId="3" fontId="1" fillId="0" borderId="132" xfId="5" applyNumberFormat="1" applyBorder="1"/>
    <xf numFmtId="3" fontId="1" fillId="0" borderId="120" xfId="3" applyNumberFormat="1" applyBorder="1"/>
    <xf numFmtId="3" fontId="1" fillId="0" borderId="70" xfId="5" applyNumberFormat="1" applyBorder="1"/>
    <xf numFmtId="3" fontId="1" fillId="0" borderId="60" xfId="5" applyNumberFormat="1" applyBorder="1"/>
    <xf numFmtId="3" fontId="1" fillId="0" borderId="131" xfId="5" applyNumberFormat="1" applyBorder="1"/>
    <xf numFmtId="3" fontId="1" fillId="0" borderId="160" xfId="5" applyNumberFormat="1" applyBorder="1"/>
    <xf numFmtId="0" fontId="13" fillId="0" borderId="122" xfId="0" applyFont="1" applyBorder="1"/>
    <xf numFmtId="0" fontId="13" fillId="0" borderId="132" xfId="0" applyFont="1" applyBorder="1"/>
    <xf numFmtId="0" fontId="13" fillId="0" borderId="128" xfId="0" applyFont="1" applyBorder="1"/>
    <xf numFmtId="0" fontId="13" fillId="0" borderId="120" xfId="0" applyFont="1" applyBorder="1"/>
    <xf numFmtId="3" fontId="66" fillId="0" borderId="138" xfId="0" applyNumberFormat="1" applyFont="1" applyBorder="1"/>
    <xf numFmtId="3" fontId="66" fillId="0" borderId="159" xfId="0" applyNumberFormat="1" applyFont="1" applyBorder="1"/>
    <xf numFmtId="3" fontId="66" fillId="0" borderId="162" xfId="0" applyNumberFormat="1" applyFont="1" applyBorder="1"/>
    <xf numFmtId="3" fontId="66" fillId="0" borderId="126" xfId="0" applyNumberFormat="1" applyFont="1" applyBorder="1"/>
    <xf numFmtId="3" fontId="66" fillId="0" borderId="85" xfId="0" applyNumberFormat="1" applyFont="1" applyBorder="1"/>
    <xf numFmtId="3" fontId="66" fillId="0" borderId="93" xfId="0" applyNumberFormat="1" applyFont="1" applyBorder="1"/>
    <xf numFmtId="3" fontId="66" fillId="0" borderId="123" xfId="0" applyNumberFormat="1" applyFont="1" applyBorder="1"/>
    <xf numFmtId="3" fontId="66" fillId="0" borderId="94" xfId="0" applyNumberFormat="1" applyFont="1" applyBorder="1"/>
    <xf numFmtId="3" fontId="66" fillId="0" borderId="125" xfId="0" applyNumberFormat="1" applyFont="1" applyBorder="1"/>
    <xf numFmtId="3" fontId="66" fillId="0" borderId="157" xfId="0" applyNumberFormat="1" applyFont="1" applyBorder="1"/>
    <xf numFmtId="3" fontId="66" fillId="0" borderId="86" xfId="0" applyNumberFormat="1" applyFont="1" applyBorder="1"/>
    <xf numFmtId="0" fontId="57" fillId="0" borderId="96" xfId="0" applyFont="1" applyBorder="1" applyAlignment="1">
      <alignment horizontal="center" vertical="center"/>
    </xf>
    <xf numFmtId="0" fontId="50" fillId="0" borderId="0" xfId="0" applyFont="1" applyAlignment="1">
      <alignment horizontal="center" wrapText="1"/>
    </xf>
    <xf numFmtId="0" fontId="50" fillId="0" borderId="0" xfId="1" applyFont="1" applyAlignment="1">
      <alignment horizontal="center"/>
    </xf>
    <xf numFmtId="3" fontId="20" fillId="0" borderId="99" xfId="1" applyNumberFormat="1" applyFont="1" applyBorder="1" applyAlignment="1">
      <alignment horizontal="center"/>
    </xf>
    <xf numFmtId="3" fontId="20" fillId="0" borderId="126" xfId="1" applyNumberFormat="1" applyFont="1" applyBorder="1" applyAlignment="1">
      <alignment horizontal="center"/>
    </xf>
    <xf numFmtId="3" fontId="20" fillId="0" borderId="91" xfId="1" applyNumberFormat="1" applyFont="1" applyBorder="1" applyAlignment="1">
      <alignment horizontal="center"/>
    </xf>
    <xf numFmtId="3" fontId="20" fillId="0" borderId="100" xfId="1" applyNumberFormat="1" applyFont="1" applyBorder="1" applyAlignment="1">
      <alignment horizontal="center"/>
    </xf>
    <xf numFmtId="3" fontId="20" fillId="0" borderId="124" xfId="1" applyNumberFormat="1" applyFont="1" applyBorder="1" applyAlignment="1">
      <alignment horizontal="center"/>
    </xf>
    <xf numFmtId="3" fontId="20" fillId="0" borderId="87" xfId="1" applyNumberFormat="1" applyFont="1" applyBorder="1" applyAlignment="1">
      <alignment horizontal="center"/>
    </xf>
    <xf numFmtId="0" fontId="14" fillId="0" borderId="99" xfId="1" applyFont="1" applyBorder="1" applyAlignment="1">
      <alignment horizontal="left" vertical="center"/>
    </xf>
    <xf numFmtId="0" fontId="14" fillId="0" borderId="126" xfId="1" applyFont="1" applyBorder="1" applyAlignment="1">
      <alignment horizontal="left" vertical="center"/>
    </xf>
    <xf numFmtId="0" fontId="14" fillId="0" borderId="100" xfId="1" applyFont="1" applyBorder="1" applyAlignment="1">
      <alignment horizontal="left" vertical="center"/>
    </xf>
    <xf numFmtId="0" fontId="14" fillId="0" borderId="87" xfId="1" applyFont="1" applyBorder="1" applyAlignment="1">
      <alignment horizontal="left" vertical="center"/>
    </xf>
    <xf numFmtId="3" fontId="46" fillId="0" borderId="99" xfId="1" applyNumberFormat="1" applyFont="1" applyBorder="1" applyAlignment="1">
      <alignment horizontal="center"/>
    </xf>
    <xf numFmtId="3" fontId="46" fillId="0" borderId="126" xfId="1" applyNumberFormat="1" applyFont="1" applyBorder="1" applyAlignment="1">
      <alignment horizontal="center"/>
    </xf>
    <xf numFmtId="3" fontId="46" fillId="0" borderId="91" xfId="1" applyNumberFormat="1" applyFont="1" applyBorder="1" applyAlignment="1">
      <alignment horizontal="center"/>
    </xf>
    <xf numFmtId="3" fontId="46" fillId="0" borderId="100" xfId="1" applyNumberFormat="1" applyFont="1" applyBorder="1" applyAlignment="1">
      <alignment horizontal="center"/>
    </xf>
    <xf numFmtId="3" fontId="46" fillId="0" borderId="124" xfId="1" applyNumberFormat="1" applyFont="1" applyBorder="1" applyAlignment="1">
      <alignment horizontal="center"/>
    </xf>
    <xf numFmtId="3" fontId="46" fillId="0" borderId="87" xfId="1" applyNumberFormat="1" applyFont="1" applyBorder="1" applyAlignment="1">
      <alignment horizontal="center"/>
    </xf>
    <xf numFmtId="3" fontId="14" fillId="0" borderId="94" xfId="1" applyNumberFormat="1" applyFont="1" applyBorder="1" applyAlignment="1">
      <alignment horizontal="center" vertical="center"/>
    </xf>
    <xf numFmtId="3" fontId="14" fillId="0" borderId="86" xfId="1" applyNumberFormat="1" applyFont="1" applyBorder="1" applyAlignment="1">
      <alignment horizontal="center" vertical="center"/>
    </xf>
    <xf numFmtId="0" fontId="45" fillId="0" borderId="184" xfId="1" applyFont="1" applyBorder="1" applyAlignment="1">
      <alignment horizontal="center"/>
    </xf>
    <xf numFmtId="0" fontId="45" fillId="0" borderId="150" xfId="1" applyFont="1" applyBorder="1" applyAlignment="1">
      <alignment horizontal="center"/>
    </xf>
    <xf numFmtId="0" fontId="45" fillId="0" borderId="173" xfId="1" applyFont="1" applyBorder="1" applyAlignment="1">
      <alignment horizontal="center"/>
    </xf>
    <xf numFmtId="0" fontId="45" fillId="0" borderId="185" xfId="1" applyFont="1" applyBorder="1" applyAlignment="1">
      <alignment horizontal="center"/>
    </xf>
    <xf numFmtId="0" fontId="45" fillId="0" borderId="140" xfId="1" applyFont="1" applyBorder="1" applyAlignment="1">
      <alignment horizontal="center"/>
    </xf>
    <xf numFmtId="0" fontId="45" fillId="0" borderId="179" xfId="1" applyFont="1" applyBorder="1" applyAlignment="1">
      <alignment horizontal="center"/>
    </xf>
    <xf numFmtId="0" fontId="45" fillId="0" borderId="170" xfId="1" applyFont="1" applyBorder="1" applyAlignment="1">
      <alignment horizontal="center"/>
    </xf>
    <xf numFmtId="0" fontId="45" fillId="0" borderId="141" xfId="1" applyFont="1" applyBorder="1" applyAlignment="1">
      <alignment horizontal="center"/>
    </xf>
    <xf numFmtId="0" fontId="45" fillId="0" borderId="174" xfId="1" applyFont="1" applyBorder="1" applyAlignment="1">
      <alignment horizontal="center"/>
    </xf>
    <xf numFmtId="3" fontId="34" fillId="0" borderId="77" xfId="1" applyNumberFormat="1" applyFont="1" applyBorder="1" applyAlignment="1">
      <alignment horizontal="left"/>
    </xf>
    <xf numFmtId="3" fontId="34" fillId="0" borderId="132" xfId="1" applyNumberFormat="1" applyFont="1" applyBorder="1" applyAlignment="1">
      <alignment horizontal="left"/>
    </xf>
    <xf numFmtId="3" fontId="34" fillId="0" borderId="117" xfId="1" applyNumberFormat="1" applyFont="1" applyBorder="1" applyAlignment="1">
      <alignment horizontal="left"/>
    </xf>
    <xf numFmtId="3" fontId="34" fillId="0" borderId="131" xfId="1" applyNumberFormat="1" applyFont="1" applyBorder="1" applyAlignment="1">
      <alignment horizontal="left"/>
    </xf>
    <xf numFmtId="0" fontId="20" fillId="0" borderId="164" xfId="1" applyFont="1" applyBorder="1" applyAlignment="1">
      <alignment horizontal="center"/>
    </xf>
    <xf numFmtId="0" fontId="20" fillId="0" borderId="175" xfId="1" applyFont="1" applyBorder="1" applyAlignment="1">
      <alignment horizontal="center"/>
    </xf>
    <xf numFmtId="0" fontId="20" fillId="0" borderId="133" xfId="1" applyFont="1" applyBorder="1" applyAlignment="1">
      <alignment horizontal="center"/>
    </xf>
    <xf numFmtId="0" fontId="20" fillId="0" borderId="128" xfId="1" applyFont="1" applyBorder="1" applyAlignment="1">
      <alignment horizontal="center"/>
    </xf>
    <xf numFmtId="0" fontId="20" fillId="0" borderId="154" xfId="1" applyFont="1" applyBorder="1" applyAlignment="1">
      <alignment horizontal="center"/>
    </xf>
    <xf numFmtId="0" fontId="20" fillId="0" borderId="132" xfId="1" applyFont="1" applyBorder="1" applyAlignment="1">
      <alignment horizontal="center"/>
    </xf>
    <xf numFmtId="0" fontId="20" fillId="0" borderId="160" xfId="1" applyFont="1" applyBorder="1" applyAlignment="1">
      <alignment horizontal="center"/>
    </xf>
    <xf numFmtId="0" fontId="20" fillId="0" borderId="161" xfId="1" applyFont="1" applyBorder="1" applyAlignment="1">
      <alignment horizontal="center"/>
    </xf>
    <xf numFmtId="0" fontId="20" fillId="0" borderId="131" xfId="1" applyFont="1" applyBorder="1" applyAlignment="1">
      <alignment horizontal="center"/>
    </xf>
    <xf numFmtId="3" fontId="34" fillId="0" borderId="118" xfId="1" applyNumberFormat="1" applyFont="1" applyBorder="1" applyAlignment="1">
      <alignment horizontal="left"/>
    </xf>
    <xf numFmtId="3" fontId="34" fillId="0" borderId="133" xfId="1" applyNumberFormat="1" applyFont="1" applyBorder="1" applyAlignment="1">
      <alignment horizontal="left"/>
    </xf>
    <xf numFmtId="3" fontId="14" fillId="0" borderId="126" xfId="1" applyNumberFormat="1" applyFont="1" applyBorder="1" applyAlignment="1">
      <alignment horizontal="center"/>
    </xf>
    <xf numFmtId="3" fontId="14" fillId="0" borderId="124" xfId="1" applyNumberFormat="1" applyFont="1" applyBorder="1" applyAlignment="1">
      <alignment horizontal="center"/>
    </xf>
    <xf numFmtId="0" fontId="2" fillId="0" borderId="177" xfId="1" applyFont="1" applyBorder="1" applyAlignment="1">
      <alignment horizontal="left"/>
    </xf>
    <xf numFmtId="0" fontId="2" fillId="0" borderId="151" xfId="1" applyFont="1" applyBorder="1" applyAlignment="1">
      <alignment horizontal="left"/>
    </xf>
    <xf numFmtId="0" fontId="2" fillId="0" borderId="11" xfId="1" applyFont="1" applyBorder="1" applyAlignment="1">
      <alignment horizontal="left"/>
    </xf>
    <xf numFmtId="0" fontId="45" fillId="0" borderId="181" xfId="1" applyFont="1" applyBorder="1" applyAlignment="1">
      <alignment horizontal="left"/>
    </xf>
    <xf numFmtId="0" fontId="45" fillId="0" borderId="182" xfId="1" applyFont="1" applyBorder="1" applyAlignment="1">
      <alignment horizontal="left"/>
    </xf>
    <xf numFmtId="0" fontId="45" fillId="0" borderId="183" xfId="1" applyFont="1" applyBorder="1" applyAlignment="1">
      <alignment horizontal="left"/>
    </xf>
    <xf numFmtId="0" fontId="45" fillId="0" borderId="113" xfId="1" applyFont="1" applyBorder="1" applyAlignment="1">
      <alignment horizontal="left"/>
    </xf>
    <xf numFmtId="0" fontId="45" fillId="0" borderId="125" xfId="1" applyFont="1" applyBorder="1" applyAlignment="1">
      <alignment horizontal="left"/>
    </xf>
    <xf numFmtId="0" fontId="45" fillId="0" borderId="172" xfId="1" applyFont="1" applyBorder="1" applyAlignment="1">
      <alignment horizontal="left"/>
    </xf>
    <xf numFmtId="0" fontId="2" fillId="0" borderId="178" xfId="1" applyFont="1" applyBorder="1" applyAlignment="1">
      <alignment horizontal="left"/>
    </xf>
    <xf numFmtId="0" fontId="2" fillId="0" borderId="140" xfId="1" applyFont="1" applyBorder="1" applyAlignment="1">
      <alignment horizontal="left"/>
    </xf>
    <xf numFmtId="0" fontId="2" fillId="0" borderId="179" xfId="1" applyFont="1" applyBorder="1" applyAlignment="1">
      <alignment horizontal="left"/>
    </xf>
    <xf numFmtId="0" fontId="45" fillId="0" borderId="53" xfId="1" applyFont="1" applyBorder="1" applyAlignment="1">
      <alignment horizontal="left"/>
    </xf>
    <xf numFmtId="0" fontId="45" fillId="0" borderId="180" xfId="1" applyFont="1" applyBorder="1" applyAlignment="1">
      <alignment horizontal="left"/>
    </xf>
    <xf numFmtId="0" fontId="45" fillId="0" borderId="4" xfId="1" applyFont="1" applyBorder="1" applyAlignment="1">
      <alignment horizontal="left"/>
    </xf>
    <xf numFmtId="0" fontId="6" fillId="0" borderId="113" xfId="1" applyFont="1" applyBorder="1" applyAlignment="1">
      <alignment horizontal="center"/>
    </xf>
    <xf numFmtId="0" fontId="6" fillId="0" borderId="125" xfId="1" applyFont="1" applyBorder="1" applyAlignment="1">
      <alignment horizontal="center"/>
    </xf>
    <xf numFmtId="0" fontId="6" fillId="0" borderId="172" xfId="1" applyFont="1" applyBorder="1" applyAlignment="1">
      <alignment horizontal="center"/>
    </xf>
    <xf numFmtId="0" fontId="2" fillId="0" borderId="176" xfId="1" applyFont="1" applyBorder="1" applyAlignment="1">
      <alignment horizontal="left"/>
    </xf>
    <xf numFmtId="0" fontId="2" fillId="0" borderId="150" xfId="1" applyFont="1" applyBorder="1" applyAlignment="1">
      <alignment horizontal="left"/>
    </xf>
    <xf numFmtId="0" fontId="2" fillId="0" borderId="173" xfId="1" applyFont="1" applyBorder="1" applyAlignment="1">
      <alignment horizontal="left"/>
    </xf>
    <xf numFmtId="4" fontId="45" fillId="0" borderId="0" xfId="1" applyNumberFormat="1" applyFont="1" applyAlignment="1">
      <alignment horizontal="center"/>
    </xf>
    <xf numFmtId="0" fontId="2" fillId="0" borderId="39" xfId="0" applyFont="1" applyBorder="1" applyAlignment="1">
      <alignment horizontal="center" wrapText="1"/>
    </xf>
    <xf numFmtId="3" fontId="16" fillId="6" borderId="47" xfId="1" applyNumberFormat="1" applyFont="1" applyFill="1" applyBorder="1" applyAlignment="1">
      <alignment horizontal="center"/>
    </xf>
    <xf numFmtId="3" fontId="21" fillId="7" borderId="50" xfId="1" applyNumberFormat="1" applyFont="1" applyFill="1" applyBorder="1" applyAlignment="1">
      <alignment horizontal="center" vertical="center" wrapText="1"/>
    </xf>
    <xf numFmtId="0" fontId="7" fillId="14" borderId="1" xfId="1" applyFont="1" applyFill="1" applyBorder="1" applyAlignment="1">
      <alignment horizontal="left" vertical="center"/>
    </xf>
    <xf numFmtId="49" fontId="21" fillId="7" borderId="35" xfId="1" applyNumberFormat="1" applyFont="1" applyFill="1" applyBorder="1" applyAlignment="1">
      <alignment horizontal="center" vertical="center" wrapText="1"/>
    </xf>
    <xf numFmtId="49" fontId="21" fillId="7" borderId="50" xfId="1" applyNumberFormat="1" applyFont="1" applyFill="1" applyBorder="1" applyAlignment="1">
      <alignment horizontal="center" vertical="center" wrapText="1"/>
    </xf>
    <xf numFmtId="0" fontId="16" fillId="6" borderId="34" xfId="1" applyFont="1" applyFill="1" applyBorder="1" applyAlignment="1">
      <alignment horizontal="center"/>
    </xf>
    <xf numFmtId="0" fontId="16" fillId="6" borderId="58" xfId="1" applyFont="1" applyFill="1" applyBorder="1" applyAlignment="1">
      <alignment horizontal="center"/>
    </xf>
    <xf numFmtId="4" fontId="2" fillId="0" borderId="0" xfId="1" applyNumberFormat="1" applyFont="1" applyAlignment="1">
      <alignment horizontal="center"/>
    </xf>
    <xf numFmtId="3" fontId="59" fillId="0" borderId="124" xfId="0" applyNumberFormat="1" applyFont="1" applyBorder="1" applyAlignment="1">
      <alignment horizontal="center"/>
    </xf>
    <xf numFmtId="0" fontId="56" fillId="0" borderId="139" xfId="0" applyFont="1" applyBorder="1" applyAlignment="1">
      <alignment horizontal="center" vertical="center"/>
    </xf>
    <xf numFmtId="0" fontId="56" fillId="0" borderId="96" xfId="0" applyFont="1" applyBorder="1" applyAlignment="1">
      <alignment horizontal="center" vertical="center"/>
    </xf>
    <xf numFmtId="0" fontId="56" fillId="0" borderId="152" xfId="0" applyFont="1" applyBorder="1" applyAlignment="1">
      <alignment horizontal="center" vertical="center"/>
    </xf>
    <xf numFmtId="0" fontId="56" fillId="0" borderId="98" xfId="0" applyFont="1" applyBorder="1" applyAlignment="1">
      <alignment horizontal="center" vertical="center"/>
    </xf>
    <xf numFmtId="0" fontId="70" fillId="0" borderId="138" xfId="5" applyFont="1" applyBorder="1" applyAlignment="1">
      <alignment horizontal="left" vertical="center" wrapText="1"/>
    </xf>
    <xf numFmtId="0" fontId="70" fillId="0" borderId="167" xfId="5" applyFont="1" applyBorder="1" applyAlignment="1">
      <alignment horizontal="left" vertical="center" wrapText="1"/>
    </xf>
    <xf numFmtId="0" fontId="77" fillId="0" borderId="93" xfId="0" applyFont="1" applyBorder="1" applyAlignment="1">
      <alignment horizontal="center" wrapText="1"/>
    </xf>
    <xf numFmtId="0" fontId="77" fillId="0" borderId="123" xfId="0" applyFont="1" applyBorder="1" applyAlignment="1">
      <alignment horizontal="center" wrapText="1"/>
    </xf>
    <xf numFmtId="0" fontId="31" fillId="0" borderId="146" xfId="3" applyFont="1" applyBorder="1" applyAlignment="1">
      <alignment horizontal="center" vertical="center" wrapText="1"/>
    </xf>
    <xf numFmtId="0" fontId="31" fillId="0" borderId="153" xfId="3" applyFont="1" applyBorder="1" applyAlignment="1">
      <alignment horizontal="center" vertical="center" wrapText="1"/>
    </xf>
    <xf numFmtId="0" fontId="70" fillId="0" borderId="99" xfId="5" applyFont="1" applyBorder="1" applyAlignment="1">
      <alignment horizontal="left" vertical="center" wrapText="1"/>
    </xf>
    <xf numFmtId="0" fontId="70" fillId="0" borderId="126" xfId="5" applyFont="1" applyBorder="1" applyAlignment="1">
      <alignment horizontal="left" vertical="center" wrapText="1"/>
    </xf>
    <xf numFmtId="0" fontId="7" fillId="0" borderId="65" xfId="5" applyFont="1" applyBorder="1" applyAlignment="1">
      <alignment horizontal="center" vertical="center" wrapText="1"/>
    </xf>
    <xf numFmtId="0" fontId="7" fillId="0" borderId="76" xfId="5" applyFont="1" applyBorder="1" applyAlignment="1">
      <alignment horizontal="center" vertical="center" wrapText="1"/>
    </xf>
    <xf numFmtId="0" fontId="7" fillId="0" borderId="74" xfId="5" applyFont="1" applyBorder="1" applyAlignment="1">
      <alignment horizontal="center" vertical="center" wrapText="1"/>
    </xf>
    <xf numFmtId="0" fontId="31" fillId="0" borderId="66" xfId="5" applyFont="1" applyBorder="1" applyAlignment="1">
      <alignment horizontal="center" vertical="center" wrapText="1"/>
    </xf>
    <xf numFmtId="0" fontId="31" fillId="0" borderId="146" xfId="5" applyFont="1" applyBorder="1" applyAlignment="1">
      <alignment horizontal="center" vertical="center" wrapText="1"/>
    </xf>
    <xf numFmtId="0" fontId="31" fillId="0" borderId="153" xfId="5" applyFont="1" applyBorder="1" applyAlignment="1">
      <alignment horizontal="center" vertical="center" wrapText="1"/>
    </xf>
    <xf numFmtId="0" fontId="66" fillId="0" borderId="65" xfId="5" applyFont="1" applyBorder="1" applyAlignment="1">
      <alignment horizontal="center" vertical="center"/>
    </xf>
    <xf numFmtId="0" fontId="66" fillId="0" borderId="74" xfId="5" applyFont="1" applyBorder="1" applyAlignment="1">
      <alignment horizontal="center" vertical="center"/>
    </xf>
    <xf numFmtId="0" fontId="66" fillId="0" borderId="65" xfId="5" applyFont="1" applyBorder="1" applyAlignment="1">
      <alignment horizontal="center" vertical="center" wrapText="1"/>
    </xf>
    <xf numFmtId="0" fontId="66" fillId="0" borderId="74" xfId="5" applyFont="1" applyBorder="1" applyAlignment="1">
      <alignment horizontal="center" vertical="center" wrapText="1"/>
    </xf>
    <xf numFmtId="0" fontId="31" fillId="0" borderId="65" xfId="5" applyFont="1" applyBorder="1" applyAlignment="1">
      <alignment horizontal="center" vertical="center" wrapText="1"/>
    </xf>
    <xf numFmtId="0" fontId="31" fillId="0" borderId="76" xfId="5" applyFont="1" applyBorder="1" applyAlignment="1">
      <alignment horizontal="center" vertical="center" wrapText="1"/>
    </xf>
    <xf numFmtId="0" fontId="31" fillId="0" borderId="74" xfId="5" applyFont="1" applyBorder="1" applyAlignment="1">
      <alignment horizontal="center" vertical="center" wrapText="1"/>
    </xf>
    <xf numFmtId="49" fontId="31" fillId="0" borderId="138" xfId="3" applyNumberFormat="1" applyFont="1" applyBorder="1" applyAlignment="1">
      <alignment horizontal="center" textRotation="90" wrapText="1"/>
    </xf>
    <xf numFmtId="49" fontId="31" fillId="0" borderId="139" xfId="3" applyNumberFormat="1" applyFont="1" applyBorder="1" applyAlignment="1">
      <alignment horizontal="center" textRotation="90" wrapText="1"/>
    </xf>
    <xf numFmtId="49" fontId="31" fillId="0" borderId="152" xfId="3" applyNumberFormat="1" applyFont="1" applyBorder="1" applyAlignment="1">
      <alignment horizontal="center" textRotation="90" wrapText="1"/>
    </xf>
    <xf numFmtId="0" fontId="31" fillId="0" borderId="167" xfId="3" applyFont="1" applyBorder="1" applyAlignment="1">
      <alignment horizontal="center" vertical="center" wrapText="1"/>
    </xf>
    <xf numFmtId="0" fontId="31" fillId="0" borderId="147" xfId="3" applyFont="1" applyBorder="1" applyAlignment="1">
      <alignment horizontal="center" vertical="center" wrapText="1"/>
    </xf>
    <xf numFmtId="0" fontId="31" fillId="0" borderId="169" xfId="3" applyFont="1" applyBorder="1" applyAlignment="1">
      <alignment horizontal="center" vertical="center" wrapText="1"/>
    </xf>
    <xf numFmtId="0" fontId="31" fillId="0" borderId="128" xfId="3" applyFont="1" applyBorder="1" applyAlignment="1">
      <alignment horizontal="center" vertical="center"/>
    </xf>
    <xf numFmtId="0" fontId="31" fillId="0" borderId="154" xfId="3" applyFont="1" applyBorder="1" applyAlignment="1">
      <alignment horizontal="center" vertical="center"/>
    </xf>
    <xf numFmtId="0" fontId="31" fillId="0" borderId="62" xfId="3" applyFont="1" applyBorder="1" applyAlignment="1">
      <alignment horizontal="center" vertical="center"/>
    </xf>
    <xf numFmtId="0" fontId="31" fillId="0" borderId="77" xfId="5" applyFont="1" applyBorder="1" applyAlignment="1">
      <alignment horizontal="center"/>
    </xf>
    <xf numFmtId="0" fontId="31" fillId="0" borderId="154" xfId="5" applyFont="1" applyBorder="1" applyAlignment="1">
      <alignment horizontal="center"/>
    </xf>
    <xf numFmtId="0" fontId="31" fillId="0" borderId="62" xfId="5" applyFont="1" applyBorder="1" applyAlignment="1">
      <alignment horizontal="center"/>
    </xf>
    <xf numFmtId="0" fontId="31" fillId="0" borderId="65" xfId="3" applyFont="1" applyBorder="1" applyAlignment="1">
      <alignment horizontal="center" vertical="center"/>
    </xf>
    <xf numFmtId="0" fontId="31" fillId="0" borderId="76" xfId="3" applyFont="1" applyBorder="1" applyAlignment="1">
      <alignment horizontal="center" vertical="center"/>
    </xf>
    <xf numFmtId="0" fontId="31" fillId="0" borderId="74" xfId="3" applyFont="1" applyBorder="1" applyAlignment="1">
      <alignment horizontal="center" vertical="center"/>
    </xf>
    <xf numFmtId="0" fontId="31" fillId="0" borderId="98" xfId="3" applyFont="1" applyBorder="1" applyAlignment="1">
      <alignment horizontal="center" vertical="center"/>
    </xf>
    <xf numFmtId="0" fontId="31" fillId="0" borderId="139" xfId="3" applyFont="1" applyBorder="1" applyAlignment="1">
      <alignment horizontal="center" vertical="center"/>
    </xf>
    <xf numFmtId="0" fontId="31" fillId="0" borderId="152" xfId="3" applyFont="1" applyBorder="1" applyAlignment="1">
      <alignment horizontal="center" vertical="center"/>
    </xf>
    <xf numFmtId="0" fontId="64" fillId="0" borderId="100" xfId="3" applyFont="1" applyBorder="1" applyAlignment="1">
      <alignment horizontal="center" vertical="center" wrapText="1"/>
    </xf>
    <xf numFmtId="0" fontId="64" fillId="0" borderId="124" xfId="3" applyFont="1" applyBorder="1" applyAlignment="1">
      <alignment horizontal="center" vertical="center" wrapText="1"/>
    </xf>
    <xf numFmtId="0" fontId="74" fillId="0" borderId="100" xfId="0" applyFont="1" applyBorder="1" applyAlignment="1">
      <alignment horizontal="center" vertical="center" wrapText="1"/>
    </xf>
    <xf numFmtId="0" fontId="74" fillId="0" borderId="124" xfId="0" applyFont="1" applyBorder="1" applyAlignment="1">
      <alignment horizontal="center" vertical="center" wrapText="1"/>
    </xf>
    <xf numFmtId="0" fontId="74" fillId="0" borderId="87" xfId="0" applyFont="1" applyBorder="1" applyAlignment="1">
      <alignment horizontal="center" vertical="center" wrapText="1"/>
    </xf>
    <xf numFmtId="0" fontId="74" fillId="0" borderId="99" xfId="0" applyFont="1" applyBorder="1" applyAlignment="1">
      <alignment horizontal="center" vertical="center" wrapText="1"/>
    </xf>
    <xf numFmtId="0" fontId="74" fillId="0" borderId="126" xfId="0" applyFont="1" applyBorder="1" applyAlignment="1">
      <alignment horizontal="center" vertical="center" wrapText="1"/>
    </xf>
    <xf numFmtId="0" fontId="74" fillId="0" borderId="91" xfId="0" applyFont="1" applyBorder="1" applyAlignment="1">
      <alignment horizontal="center" vertical="center" wrapText="1"/>
    </xf>
    <xf numFmtId="0" fontId="74" fillId="0" borderId="163" xfId="0" applyFont="1" applyBorder="1" applyAlignment="1">
      <alignment horizontal="center" vertical="center" wrapText="1"/>
    </xf>
    <xf numFmtId="0" fontId="74" fillId="0" borderId="0" xfId="0" applyFont="1" applyAlignment="1">
      <alignment horizontal="center" vertical="center" wrapText="1"/>
    </xf>
    <xf numFmtId="0" fontId="74" fillId="0" borderId="90" xfId="0" applyFont="1" applyBorder="1" applyAlignment="1">
      <alignment horizontal="center" vertical="center" wrapText="1"/>
    </xf>
    <xf numFmtId="0" fontId="31" fillId="0" borderId="91" xfId="3" applyFont="1" applyBorder="1" applyAlignment="1">
      <alignment horizontal="center" vertical="center" wrapText="1"/>
    </xf>
    <xf numFmtId="0" fontId="31" fillId="0" borderId="90" xfId="3" applyFont="1" applyBorder="1" applyAlignment="1">
      <alignment horizontal="center" vertical="center" wrapText="1"/>
    </xf>
    <xf numFmtId="0" fontId="31" fillId="0" borderId="87" xfId="3" applyFont="1" applyBorder="1" applyAlignment="1">
      <alignment horizontal="center" vertical="center" wrapText="1"/>
    </xf>
    <xf numFmtId="2" fontId="31" fillId="0" borderId="76" xfId="5" applyNumberFormat="1" applyFont="1" applyBorder="1" applyAlignment="1">
      <alignment horizontal="center" vertical="center" wrapText="1"/>
    </xf>
    <xf numFmtId="2" fontId="31" fillId="0" borderId="74" xfId="5" applyNumberFormat="1" applyFont="1" applyBorder="1" applyAlignment="1">
      <alignment horizontal="center" vertical="center" wrapText="1"/>
    </xf>
    <xf numFmtId="49" fontId="65" fillId="0" borderId="99" xfId="5" applyNumberFormat="1" applyFont="1" applyBorder="1" applyAlignment="1">
      <alignment horizontal="center" vertical="center" wrapText="1"/>
    </xf>
    <xf numFmtId="49" fontId="65" fillId="0" borderId="126" xfId="5" applyNumberFormat="1" applyFont="1" applyBorder="1" applyAlignment="1">
      <alignment horizontal="center" vertical="center" wrapText="1"/>
    </xf>
    <xf numFmtId="49" fontId="65" fillId="0" borderId="91" xfId="5" applyNumberFormat="1" applyFont="1" applyBorder="1" applyAlignment="1">
      <alignment horizontal="center" vertical="center" wrapText="1"/>
    </xf>
    <xf numFmtId="49" fontId="65" fillId="0" borderId="163" xfId="5" applyNumberFormat="1" applyFont="1" applyBorder="1" applyAlignment="1">
      <alignment horizontal="center" vertical="center" wrapText="1"/>
    </xf>
    <xf numFmtId="49" fontId="65" fillId="0" borderId="0" xfId="5" applyNumberFormat="1" applyFont="1" applyAlignment="1">
      <alignment horizontal="center" vertical="center" wrapText="1"/>
    </xf>
    <xf numFmtId="49" fontId="65" fillId="0" borderId="90" xfId="5" applyNumberFormat="1" applyFont="1" applyBorder="1" applyAlignment="1">
      <alignment horizontal="center" vertical="center" wrapText="1"/>
    </xf>
    <xf numFmtId="49" fontId="21" fillId="0" borderId="160" xfId="5" applyNumberFormat="1" applyFont="1" applyBorder="1" applyAlignment="1">
      <alignment horizontal="center" vertical="center" wrapText="1"/>
    </xf>
    <xf numFmtId="49" fontId="21" fillId="0" borderId="161" xfId="5" applyNumberFormat="1" applyFont="1" applyBorder="1" applyAlignment="1">
      <alignment horizontal="center" vertical="center" wrapText="1"/>
    </xf>
    <xf numFmtId="49" fontId="21" fillId="0" borderId="131" xfId="5" applyNumberFormat="1" applyFont="1" applyBorder="1" applyAlignment="1">
      <alignment horizontal="center" vertical="center" wrapText="1"/>
    </xf>
    <xf numFmtId="0" fontId="31" fillId="0" borderId="160" xfId="3" applyFont="1" applyBorder="1" applyAlignment="1">
      <alignment horizontal="center" vertical="center"/>
    </xf>
    <xf numFmtId="0" fontId="31" fillId="0" borderId="161" xfId="3" applyFont="1" applyBorder="1" applyAlignment="1">
      <alignment horizontal="center" vertical="center"/>
    </xf>
    <xf numFmtId="0" fontId="31" fillId="0" borderId="131" xfId="3" applyFont="1" applyBorder="1" applyAlignment="1">
      <alignment horizontal="center" vertical="center"/>
    </xf>
    <xf numFmtId="0" fontId="74" fillId="0" borderId="127" xfId="0" applyFont="1" applyBorder="1" applyAlignment="1">
      <alignment horizontal="center" vertical="center" wrapText="1"/>
    </xf>
    <xf numFmtId="0" fontId="74" fillId="0" borderId="84" xfId="0" applyFont="1" applyBorder="1" applyAlignment="1">
      <alignment horizontal="center" vertical="center" wrapText="1"/>
    </xf>
    <xf numFmtId="3" fontId="78" fillId="0" borderId="113" xfId="0" applyNumberFormat="1" applyFont="1" applyBorder="1" applyAlignment="1">
      <alignment horizontal="center"/>
    </xf>
    <xf numFmtId="0" fontId="78" fillId="0" borderId="125" xfId="0" applyFont="1" applyBorder="1" applyAlignment="1">
      <alignment horizontal="center"/>
    </xf>
    <xf numFmtId="0" fontId="78" fillId="0" borderId="86" xfId="0" applyFont="1" applyBorder="1" applyAlignment="1">
      <alignment horizontal="center"/>
    </xf>
    <xf numFmtId="3" fontId="78" fillId="0" borderId="125" xfId="0" applyNumberFormat="1" applyFont="1" applyBorder="1" applyAlignment="1">
      <alignment horizontal="center"/>
    </xf>
    <xf numFmtId="3" fontId="78" fillId="0" borderId="86" xfId="0" applyNumberFormat="1" applyFont="1" applyBorder="1" applyAlignment="1">
      <alignment horizontal="center"/>
    </xf>
    <xf numFmtId="0" fontId="78" fillId="0" borderId="99" xfId="0" applyFont="1" applyBorder="1" applyAlignment="1">
      <alignment horizontal="center" wrapText="1"/>
    </xf>
    <xf numFmtId="0" fontId="78" fillId="0" borderId="126" xfId="0" applyFont="1" applyBorder="1" applyAlignment="1">
      <alignment horizontal="center" wrapText="1"/>
    </xf>
    <xf numFmtId="0" fontId="78" fillId="0" borderId="91" xfId="0" applyFont="1" applyBorder="1" applyAlignment="1">
      <alignment horizontal="center" wrapText="1"/>
    </xf>
    <xf numFmtId="0" fontId="78" fillId="0" borderId="100" xfId="0" applyFont="1" applyBorder="1" applyAlignment="1">
      <alignment horizontal="center" wrapText="1"/>
    </xf>
    <xf numFmtId="0" fontId="78" fillId="0" borderId="124" xfId="0" applyFont="1" applyBorder="1" applyAlignment="1">
      <alignment horizontal="center" wrapText="1"/>
    </xf>
    <xf numFmtId="0" fontId="78" fillId="0" borderId="87" xfId="0" applyFont="1" applyBorder="1" applyAlignment="1">
      <alignment horizontal="center" wrapText="1"/>
    </xf>
    <xf numFmtId="3" fontId="77" fillId="0" borderId="93" xfId="0" applyNumberFormat="1" applyFont="1" applyBorder="1" applyAlignment="1">
      <alignment horizontal="center"/>
    </xf>
    <xf numFmtId="3" fontId="77" fillId="0" borderId="125" xfId="0" applyNumberFormat="1" applyFont="1" applyBorder="1" applyAlignment="1">
      <alignment horizontal="center"/>
    </xf>
    <xf numFmtId="3" fontId="77" fillId="0" borderId="157" xfId="0" applyNumberFormat="1" applyFont="1" applyBorder="1" applyAlignment="1">
      <alignment horizontal="center"/>
    </xf>
    <xf numFmtId="3" fontId="78" fillId="0" borderId="93" xfId="0" applyNumberFormat="1" applyFont="1" applyBorder="1" applyAlignment="1">
      <alignment horizontal="center"/>
    </xf>
    <xf numFmtId="0" fontId="78" fillId="0" borderId="157" xfId="0" applyFont="1" applyBorder="1" applyAlignment="1">
      <alignment horizontal="center"/>
    </xf>
    <xf numFmtId="0" fontId="77" fillId="0" borderId="93" xfId="0" applyFont="1" applyBorder="1" applyAlignment="1">
      <alignment horizontal="center"/>
    </xf>
    <xf numFmtId="0" fontId="77" fillId="0" borderId="123" xfId="0" applyFont="1" applyBorder="1" applyAlignment="1">
      <alignment horizontal="center"/>
    </xf>
    <xf numFmtId="0" fontId="56" fillId="0" borderId="160" xfId="0" applyFont="1" applyBorder="1" applyAlignment="1">
      <alignment horizontal="left"/>
    </xf>
    <xf numFmtId="0" fontId="56" fillId="0" borderId="131" xfId="0" applyFont="1" applyBorder="1" applyAlignment="1">
      <alignment horizontal="left"/>
    </xf>
    <xf numFmtId="0" fontId="82" fillId="0" borderId="99" xfId="0" applyFont="1" applyBorder="1" applyAlignment="1">
      <alignment horizontal="center" vertical="center"/>
    </xf>
    <xf numFmtId="0" fontId="82" fillId="0" borderId="91" xfId="0" applyFont="1" applyBorder="1" applyAlignment="1">
      <alignment horizontal="center" vertical="center"/>
    </xf>
    <xf numFmtId="0" fontId="82" fillId="0" borderId="100" xfId="0" applyFont="1" applyBorder="1" applyAlignment="1">
      <alignment horizontal="center" vertical="center"/>
    </xf>
    <xf numFmtId="0" fontId="82" fillId="0" borderId="87" xfId="0" applyFont="1" applyBorder="1" applyAlignment="1">
      <alignment horizontal="center" vertical="center"/>
    </xf>
    <xf numFmtId="3" fontId="82" fillId="0" borderId="127" xfId="0" applyNumberFormat="1" applyFont="1" applyBorder="1" applyAlignment="1">
      <alignment horizontal="center"/>
    </xf>
    <xf numFmtId="3" fontId="82" fillId="0" borderId="84" xfId="0" applyNumberFormat="1" applyFont="1" applyBorder="1" applyAlignment="1">
      <alignment horizontal="center"/>
    </xf>
    <xf numFmtId="3" fontId="82" fillId="0" borderId="113" xfId="0" applyNumberFormat="1" applyFont="1" applyBorder="1" applyAlignment="1">
      <alignment horizontal="center"/>
    </xf>
    <xf numFmtId="3" fontId="82" fillId="0" borderId="125" xfId="0" applyNumberFormat="1" applyFont="1" applyBorder="1" applyAlignment="1">
      <alignment horizontal="center"/>
    </xf>
    <xf numFmtId="3" fontId="82" fillId="0" borderId="86" xfId="0" applyNumberFormat="1" applyFont="1" applyBorder="1" applyAlignment="1">
      <alignment horizontal="center"/>
    </xf>
    <xf numFmtId="0" fontId="57" fillId="0" borderId="128" xfId="0" applyFont="1" applyBorder="1" applyAlignment="1">
      <alignment horizontal="left" vertical="center"/>
    </xf>
    <xf numFmtId="0" fontId="57" fillId="0" borderId="132" xfId="0" applyFont="1" applyBorder="1" applyAlignment="1">
      <alignment horizontal="left" vertical="center"/>
    </xf>
    <xf numFmtId="0" fontId="57" fillId="0" borderId="71" xfId="0" applyFont="1" applyBorder="1" applyAlignment="1">
      <alignment horizontal="left" vertical="center"/>
    </xf>
    <xf numFmtId="0" fontId="57" fillId="0" borderId="77" xfId="0" applyFont="1" applyBorder="1" applyAlignment="1">
      <alignment horizontal="left" vertical="center"/>
    </xf>
    <xf numFmtId="0" fontId="59" fillId="15" borderId="113" xfId="0" applyFont="1" applyFill="1" applyBorder="1" applyAlignment="1">
      <alignment horizontal="left"/>
    </xf>
    <xf numFmtId="0" fontId="59" fillId="15" borderId="86" xfId="0" applyFont="1" applyFill="1" applyBorder="1" applyAlignment="1">
      <alignment horizontal="left"/>
    </xf>
    <xf numFmtId="0" fontId="57" fillId="0" borderId="71" xfId="0" applyFont="1" applyBorder="1" applyAlignment="1">
      <alignment horizontal="center" vertical="center"/>
    </xf>
    <xf numFmtId="0" fontId="57" fillId="0" borderId="72" xfId="0" applyFont="1" applyBorder="1" applyAlignment="1">
      <alignment horizontal="center" vertical="center"/>
    </xf>
    <xf numFmtId="0" fontId="59" fillId="15" borderId="152" xfId="0" applyFont="1" applyFill="1" applyBorder="1" applyAlignment="1">
      <alignment horizontal="left"/>
    </xf>
    <xf numFmtId="0" fontId="59" fillId="15" borderId="169" xfId="0" applyFont="1" applyFill="1" applyBorder="1" applyAlignment="1">
      <alignment horizontal="left"/>
    </xf>
    <xf numFmtId="0" fontId="57" fillId="0" borderId="98" xfId="0" applyFont="1" applyBorder="1" applyAlignment="1">
      <alignment horizontal="center" vertical="center"/>
    </xf>
    <xf numFmtId="0" fontId="57" fillId="0" borderId="139" xfId="0" applyFont="1" applyBorder="1" applyAlignment="1">
      <alignment horizontal="center" vertical="center"/>
    </xf>
    <xf numFmtId="0" fontId="57" fillId="0" borderId="96" xfId="0" applyFont="1" applyBorder="1" applyAlignment="1">
      <alignment horizontal="center" vertical="center"/>
    </xf>
    <xf numFmtId="3" fontId="55" fillId="0" borderId="124" xfId="0" applyNumberFormat="1" applyFont="1" applyBorder="1" applyAlignment="1">
      <alignment horizontal="center"/>
    </xf>
    <xf numFmtId="0" fontId="59" fillId="0" borderId="99" xfId="0" applyFont="1" applyBorder="1" applyAlignment="1">
      <alignment horizontal="center" vertical="center"/>
    </xf>
    <xf numFmtId="0" fontId="59" fillId="0" borderId="126" xfId="0" applyFont="1" applyBorder="1" applyAlignment="1">
      <alignment horizontal="center" vertical="center"/>
    </xf>
    <xf numFmtId="0" fontId="59" fillId="0" borderId="163" xfId="0" applyFont="1" applyBorder="1" applyAlignment="1">
      <alignment horizontal="center" vertical="center"/>
    </xf>
    <xf numFmtId="0" fontId="59" fillId="0" borderId="0" xfId="0" applyFont="1" applyAlignment="1">
      <alignment horizontal="center" vertical="center"/>
    </xf>
    <xf numFmtId="0" fontId="59" fillId="0" borderId="100" xfId="0" applyFont="1" applyBorder="1" applyAlignment="1">
      <alignment horizontal="center" vertical="center"/>
    </xf>
    <xf numFmtId="0" fontId="59" fillId="0" borderId="124" xfId="0" applyFont="1" applyBorder="1" applyAlignment="1">
      <alignment horizontal="center" vertical="center"/>
    </xf>
    <xf numFmtId="0" fontId="59" fillId="0" borderId="127"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113" xfId="0" applyFont="1" applyBorder="1" applyAlignment="1">
      <alignment horizontal="center" vertical="center" wrapText="1"/>
    </xf>
    <xf numFmtId="0" fontId="59" fillId="0" borderId="125" xfId="0" applyFont="1" applyBorder="1" applyAlignment="1">
      <alignment horizontal="center" vertical="center" wrapText="1"/>
    </xf>
    <xf numFmtId="0" fontId="59" fillId="0" borderId="86" xfId="0" applyFont="1" applyBorder="1" applyAlignment="1">
      <alignment horizontal="center" vertical="center" wrapText="1"/>
    </xf>
    <xf numFmtId="3" fontId="59" fillId="0" borderId="113" xfId="0" applyNumberFormat="1" applyFont="1" applyBorder="1" applyAlignment="1">
      <alignment horizontal="center" vertical="center" wrapText="1"/>
    </xf>
    <xf numFmtId="3" fontId="59" fillId="0" borderId="125" xfId="0" applyNumberFormat="1" applyFont="1" applyBorder="1" applyAlignment="1">
      <alignment horizontal="center" vertical="center" wrapText="1"/>
    </xf>
    <xf numFmtId="3" fontId="59" fillId="0" borderId="86" xfId="0" applyNumberFormat="1" applyFont="1" applyBorder="1" applyAlignment="1">
      <alignment horizontal="center" vertical="center" wrapText="1"/>
    </xf>
    <xf numFmtId="3" fontId="13" fillId="0" borderId="0" xfId="0" applyNumberFormat="1" applyFont="1"/>
    <xf numFmtId="3" fontId="20" fillId="0" borderId="2" xfId="0" applyNumberFormat="1" applyFont="1" applyBorder="1" applyAlignment="1">
      <alignment horizontal="right"/>
    </xf>
    <xf numFmtId="3" fontId="14" fillId="0" borderId="4" xfId="0" applyNumberFormat="1" applyFont="1" applyBorder="1" applyAlignment="1">
      <alignment horizontal="right"/>
    </xf>
    <xf numFmtId="3" fontId="14" fillId="0" borderId="5" xfId="0" applyNumberFormat="1" applyFont="1" applyBorder="1"/>
    <xf numFmtId="3" fontId="34" fillId="0" borderId="7" xfId="0" applyNumberFormat="1" applyFont="1" applyBorder="1"/>
    <xf numFmtId="3" fontId="34" fillId="0" borderId="6" xfId="0" applyNumberFormat="1" applyFont="1" applyBorder="1"/>
    <xf numFmtId="3" fontId="14" fillId="0" borderId="11" xfId="0" applyNumberFormat="1" applyFont="1" applyBorder="1" applyAlignment="1">
      <alignment horizontal="right"/>
    </xf>
    <xf numFmtId="3" fontId="34" fillId="0" borderId="5" xfId="0" applyNumberFormat="1" applyFont="1" applyBorder="1"/>
    <xf numFmtId="3" fontId="34" fillId="0" borderId="203" xfId="0" applyNumberFormat="1" applyFont="1" applyBorder="1"/>
    <xf numFmtId="3" fontId="14" fillId="0" borderId="116" xfId="0" applyNumberFormat="1" applyFont="1" applyBorder="1"/>
    <xf numFmtId="3" fontId="20" fillId="0" borderId="33" xfId="0" applyNumberFormat="1" applyFont="1" applyBorder="1" applyAlignment="1">
      <alignment horizontal="right"/>
    </xf>
    <xf numFmtId="3" fontId="14" fillId="0" borderId="85" xfId="0" applyNumberFormat="1" applyFont="1" applyBorder="1" applyAlignment="1">
      <alignment horizontal="right"/>
    </xf>
    <xf numFmtId="3" fontId="34" fillId="0" borderId="83" xfId="0" applyNumberFormat="1" applyFont="1" applyBorder="1"/>
    <xf numFmtId="3" fontId="58" fillId="0" borderId="2" xfId="0" applyNumberFormat="1" applyFont="1" applyBorder="1" applyAlignment="1">
      <alignment horizontal="right"/>
    </xf>
    <xf numFmtId="3" fontId="51" fillId="0" borderId="0" xfId="0" applyNumberFormat="1" applyFont="1"/>
    <xf numFmtId="3" fontId="34" fillId="0" borderId="9" xfId="0" applyNumberFormat="1" applyFont="1" applyBorder="1"/>
    <xf numFmtId="3" fontId="34" fillId="0" borderId="84" xfId="0" applyNumberFormat="1" applyFont="1" applyBorder="1"/>
    <xf numFmtId="3" fontId="14" fillId="0" borderId="84" xfId="0" applyNumberFormat="1" applyFont="1" applyBorder="1" applyAlignment="1">
      <alignment horizontal="right"/>
    </xf>
    <xf numFmtId="3" fontId="34" fillId="0" borderId="13" xfId="0" applyNumberFormat="1" applyFont="1" applyBorder="1"/>
  </cellXfs>
  <cellStyles count="7">
    <cellStyle name="Normálna" xfId="0" builtinId="0"/>
    <cellStyle name="normálne 2" xfId="1" xr:uid="{00000000-0005-0000-0000-000001000000}"/>
    <cellStyle name="normálne 3" xfId="2" xr:uid="{00000000-0005-0000-0000-000002000000}"/>
    <cellStyle name="normální 2 2" xfId="5" xr:uid="{00000000-0005-0000-0000-000003000000}"/>
    <cellStyle name="normální 2 3 2" xfId="4" xr:uid="{00000000-0005-0000-0000-000004000000}"/>
    <cellStyle name="normální 3" xfId="6" xr:uid="{00000000-0005-0000-0000-000005000000}"/>
    <cellStyle name="normální_RozpŠk05O6 2 2" xfId="3"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ovacikova\Documents\Rok%202023\1.%20&#250;prava%20rozpo&#269;tu%202023\tabu&#318;ky%20%20podrobn&#233;%20%202023-2025.xlsx" TargetMode="External"/><Relationship Id="rId1" Type="http://schemas.openxmlformats.org/officeDocument/2006/relationships/externalLinkPath" Target="/Users/kovacikova/Documents/Rok%202023/1.%20&#250;prava%20rozpo&#269;tu%202023/tabu&#318;ky%20%20podrobn&#233;%20%20202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ovacikova/AppData/Roaming/Microsoft/Excel/tabu&#318;ky%20%20podrobn&#233;%20%202014%20zn&#237;&#382;en&#2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kumenty\Rok%202016\Mesa&#269;n&#233;%20plnenie%202016\December%20%202016\tabu&#318;ky%20%20podrobn&#233;%20%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Plánovanie, manažment a kontr"/>
      <sheetName val="2. Propagácia a marketing"/>
      <sheetName val="3.Interné služby"/>
      <sheetName val="4.Služby občanov"/>
      <sheetName val="5.Bezpečnosť, právo a por."/>
      <sheetName val="6.Odpadové hospodárstvo"/>
      <sheetName val="7.Komunikácie"/>
      <sheetName val="8.Doprava"/>
      <sheetName val="9. Vzdelávanie"/>
      <sheetName val="10. Šport"/>
      <sheetName val="11. Kultúra"/>
      <sheetName val="12. Prostredie pre život"/>
      <sheetName val="13. Sociálna starostlivosť"/>
      <sheetName val="14. Bývanie"/>
      <sheetName val="15. Administratíva"/>
      <sheetName val="programy spolu"/>
      <sheetName val="Hárok1"/>
    </sheetNames>
    <sheetDataSet>
      <sheetData sheetId="0">
        <row r="5">
          <cell r="E5">
            <v>95089.45</v>
          </cell>
          <cell r="F5">
            <v>0</v>
          </cell>
          <cell r="G5">
            <v>0</v>
          </cell>
          <cell r="H5">
            <v>102410.45999999999</v>
          </cell>
          <cell r="I5">
            <v>0</v>
          </cell>
          <cell r="J5">
            <v>0</v>
          </cell>
          <cell r="K5">
            <v>107670</v>
          </cell>
          <cell r="L5">
            <v>0</v>
          </cell>
          <cell r="M5">
            <v>0</v>
          </cell>
          <cell r="N5">
            <v>107670</v>
          </cell>
          <cell r="O5">
            <v>0</v>
          </cell>
          <cell r="P5">
            <v>0</v>
          </cell>
          <cell r="Q5">
            <v>0</v>
          </cell>
          <cell r="R5">
            <v>0</v>
          </cell>
          <cell r="S5">
            <v>0</v>
          </cell>
          <cell r="T5">
            <v>107670</v>
          </cell>
          <cell r="U5">
            <v>0</v>
          </cell>
          <cell r="V5">
            <v>0</v>
          </cell>
        </row>
        <row r="17">
          <cell r="E17">
            <v>44917.61</v>
          </cell>
          <cell r="F17">
            <v>0</v>
          </cell>
          <cell r="G17">
            <v>0</v>
          </cell>
          <cell r="H17">
            <v>43847.799999999996</v>
          </cell>
          <cell r="I17">
            <v>0</v>
          </cell>
          <cell r="J17">
            <v>0</v>
          </cell>
          <cell r="K17">
            <v>50120</v>
          </cell>
          <cell r="L17">
            <v>0</v>
          </cell>
          <cell r="M17">
            <v>0</v>
          </cell>
          <cell r="N17">
            <v>50120</v>
          </cell>
          <cell r="O17">
            <v>0</v>
          </cell>
          <cell r="P17">
            <v>0</v>
          </cell>
          <cell r="Q17">
            <v>0</v>
          </cell>
          <cell r="R17">
            <v>0</v>
          </cell>
          <cell r="S17">
            <v>0</v>
          </cell>
          <cell r="T17">
            <v>50120</v>
          </cell>
          <cell r="U17">
            <v>0</v>
          </cell>
          <cell r="V17">
            <v>0</v>
          </cell>
        </row>
        <row r="28">
          <cell r="E28">
            <v>81880.149999999994</v>
          </cell>
          <cell r="F28">
            <v>0</v>
          </cell>
          <cell r="G28">
            <v>0</v>
          </cell>
          <cell r="H28">
            <v>108129.70000000001</v>
          </cell>
          <cell r="I28">
            <v>0</v>
          </cell>
          <cell r="J28">
            <v>0</v>
          </cell>
          <cell r="K28">
            <v>85200</v>
          </cell>
          <cell r="L28">
            <v>0</v>
          </cell>
          <cell r="M28">
            <v>0</v>
          </cell>
          <cell r="N28">
            <v>85200</v>
          </cell>
          <cell r="O28">
            <v>0</v>
          </cell>
          <cell r="P28">
            <v>0</v>
          </cell>
          <cell r="Q28">
            <v>0</v>
          </cell>
          <cell r="R28">
            <v>0</v>
          </cell>
          <cell r="S28">
            <v>0</v>
          </cell>
          <cell r="T28">
            <v>85200</v>
          </cell>
          <cell r="U28">
            <v>0</v>
          </cell>
          <cell r="V28">
            <v>0</v>
          </cell>
        </row>
        <row r="33">
          <cell r="E33">
            <v>0</v>
          </cell>
          <cell r="F33">
            <v>0</v>
          </cell>
          <cell r="G33">
            <v>0</v>
          </cell>
          <cell r="H33">
            <v>7316.2</v>
          </cell>
          <cell r="I33">
            <v>0</v>
          </cell>
          <cell r="J33">
            <v>0</v>
          </cell>
          <cell r="K33">
            <v>4400</v>
          </cell>
          <cell r="L33">
            <v>0</v>
          </cell>
          <cell r="M33">
            <v>0</v>
          </cell>
          <cell r="N33">
            <v>4400</v>
          </cell>
          <cell r="O33">
            <v>0</v>
          </cell>
          <cell r="P33">
            <v>0</v>
          </cell>
          <cell r="Q33">
            <v>0</v>
          </cell>
          <cell r="R33">
            <v>0</v>
          </cell>
          <cell r="S33">
            <v>0</v>
          </cell>
          <cell r="T33">
            <v>4400</v>
          </cell>
          <cell r="U33">
            <v>0</v>
          </cell>
          <cell r="V33">
            <v>0</v>
          </cell>
        </row>
        <row r="41">
          <cell r="E41">
            <v>16791.120000000003</v>
          </cell>
          <cell r="F41">
            <v>0</v>
          </cell>
          <cell r="G41">
            <v>0</v>
          </cell>
          <cell r="H41">
            <v>18335.53</v>
          </cell>
          <cell r="I41">
            <v>0</v>
          </cell>
          <cell r="J41">
            <v>0</v>
          </cell>
          <cell r="K41">
            <v>18000</v>
          </cell>
          <cell r="L41">
            <v>0</v>
          </cell>
          <cell r="M41">
            <v>0</v>
          </cell>
          <cell r="N41">
            <v>17800</v>
          </cell>
          <cell r="O41">
            <v>0</v>
          </cell>
          <cell r="P41">
            <v>0</v>
          </cell>
          <cell r="Q41">
            <v>8475</v>
          </cell>
          <cell r="R41">
            <v>0</v>
          </cell>
          <cell r="S41">
            <v>0</v>
          </cell>
          <cell r="T41">
            <v>26275</v>
          </cell>
          <cell r="U41">
            <v>0</v>
          </cell>
          <cell r="V41">
            <v>0</v>
          </cell>
        </row>
        <row r="58">
          <cell r="E58">
            <v>0</v>
          </cell>
          <cell r="F58">
            <v>0</v>
          </cell>
          <cell r="G58">
            <v>0</v>
          </cell>
          <cell r="H58">
            <v>21300</v>
          </cell>
          <cell r="I58">
            <v>0</v>
          </cell>
          <cell r="J58">
            <v>0</v>
          </cell>
          <cell r="K58">
            <v>22500</v>
          </cell>
          <cell r="L58">
            <v>0</v>
          </cell>
          <cell r="M58">
            <v>0</v>
          </cell>
          <cell r="N58">
            <v>22500</v>
          </cell>
          <cell r="O58">
            <v>0</v>
          </cell>
          <cell r="P58">
            <v>0</v>
          </cell>
          <cell r="Q58">
            <v>0</v>
          </cell>
          <cell r="R58">
            <v>0</v>
          </cell>
          <cell r="S58">
            <v>0</v>
          </cell>
          <cell r="T58">
            <v>22500</v>
          </cell>
          <cell r="U58">
            <v>0</v>
          </cell>
          <cell r="V58">
            <v>0</v>
          </cell>
        </row>
        <row r="62">
          <cell r="E62">
            <v>96</v>
          </cell>
          <cell r="F62">
            <v>41709.160000000003</v>
          </cell>
          <cell r="G62">
            <v>0</v>
          </cell>
          <cell r="H62">
            <v>2077.39</v>
          </cell>
          <cell r="I62">
            <v>55641.85</v>
          </cell>
          <cell r="J62">
            <v>0</v>
          </cell>
          <cell r="K62">
            <v>3000</v>
          </cell>
          <cell r="L62">
            <v>20000</v>
          </cell>
          <cell r="M62">
            <v>0</v>
          </cell>
          <cell r="N62">
            <v>3000</v>
          </cell>
          <cell r="O62">
            <v>20000</v>
          </cell>
          <cell r="P62">
            <v>0</v>
          </cell>
          <cell r="Q62">
            <v>0</v>
          </cell>
          <cell r="R62">
            <v>50000</v>
          </cell>
          <cell r="S62">
            <v>0</v>
          </cell>
          <cell r="T62">
            <v>3000</v>
          </cell>
          <cell r="U62">
            <v>70000</v>
          </cell>
          <cell r="V62">
            <v>0</v>
          </cell>
        </row>
        <row r="79">
          <cell r="E79">
            <v>79235.239999999991</v>
          </cell>
          <cell r="F79">
            <v>0</v>
          </cell>
          <cell r="G79">
            <v>0</v>
          </cell>
          <cell r="H79">
            <v>94618.590000000011</v>
          </cell>
          <cell r="I79">
            <v>0</v>
          </cell>
          <cell r="J79">
            <v>0</v>
          </cell>
          <cell r="K79">
            <v>101200</v>
          </cell>
          <cell r="L79">
            <v>0</v>
          </cell>
          <cell r="M79">
            <v>0</v>
          </cell>
          <cell r="N79">
            <v>101200</v>
          </cell>
          <cell r="O79">
            <v>0</v>
          </cell>
          <cell r="P79">
            <v>0</v>
          </cell>
          <cell r="Q79">
            <v>0</v>
          </cell>
          <cell r="R79">
            <v>0</v>
          </cell>
          <cell r="S79">
            <v>0</v>
          </cell>
          <cell r="T79">
            <v>101200</v>
          </cell>
          <cell r="U79">
            <v>0</v>
          </cell>
          <cell r="V79">
            <v>0</v>
          </cell>
        </row>
        <row r="88">
          <cell r="E88">
            <v>4320</v>
          </cell>
          <cell r="F88">
            <v>0</v>
          </cell>
          <cell r="G88">
            <v>0</v>
          </cell>
          <cell r="H88">
            <v>6444</v>
          </cell>
          <cell r="I88">
            <v>0</v>
          </cell>
          <cell r="J88">
            <v>0</v>
          </cell>
          <cell r="K88">
            <v>7000</v>
          </cell>
          <cell r="L88">
            <v>0</v>
          </cell>
          <cell r="M88">
            <v>0</v>
          </cell>
          <cell r="N88">
            <v>7000</v>
          </cell>
          <cell r="O88">
            <v>0</v>
          </cell>
          <cell r="P88">
            <v>0</v>
          </cell>
          <cell r="Q88">
            <v>0</v>
          </cell>
          <cell r="R88">
            <v>0</v>
          </cell>
          <cell r="S88">
            <v>0</v>
          </cell>
          <cell r="T88">
            <v>7000</v>
          </cell>
          <cell r="U88">
            <v>0</v>
          </cell>
          <cell r="V88">
            <v>0</v>
          </cell>
        </row>
        <row r="92">
          <cell r="E92">
            <v>6496.46</v>
          </cell>
          <cell r="F92">
            <v>0</v>
          </cell>
          <cell r="G92">
            <v>0</v>
          </cell>
          <cell r="H92">
            <v>6512.91</v>
          </cell>
          <cell r="I92">
            <v>0</v>
          </cell>
          <cell r="J92">
            <v>0</v>
          </cell>
          <cell r="K92">
            <v>6000</v>
          </cell>
          <cell r="L92">
            <v>0</v>
          </cell>
          <cell r="M92">
            <v>0</v>
          </cell>
          <cell r="N92">
            <v>6200</v>
          </cell>
          <cell r="O92">
            <v>0</v>
          </cell>
          <cell r="P92">
            <v>0</v>
          </cell>
          <cell r="Q92">
            <v>700</v>
          </cell>
          <cell r="R92">
            <v>0</v>
          </cell>
          <cell r="S92">
            <v>0</v>
          </cell>
          <cell r="T92">
            <v>6900</v>
          </cell>
          <cell r="U92">
            <v>0</v>
          </cell>
          <cell r="V92">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row>
      </sheetData>
      <sheetData sheetId="1">
        <row r="5">
          <cell r="E5">
            <v>340.06</v>
          </cell>
          <cell r="F5">
            <v>0</v>
          </cell>
          <cell r="G5">
            <v>0</v>
          </cell>
          <cell r="H5">
            <v>340.06</v>
          </cell>
          <cell r="I5">
            <v>0</v>
          </cell>
          <cell r="J5">
            <v>0</v>
          </cell>
          <cell r="K5">
            <v>350</v>
          </cell>
          <cell r="L5">
            <v>0</v>
          </cell>
          <cell r="M5">
            <v>0</v>
          </cell>
          <cell r="N5">
            <v>350</v>
          </cell>
          <cell r="O5">
            <v>0</v>
          </cell>
          <cell r="P5">
            <v>0</v>
          </cell>
          <cell r="Q5">
            <v>0</v>
          </cell>
          <cell r="R5">
            <v>0</v>
          </cell>
          <cell r="S5">
            <v>0</v>
          </cell>
          <cell r="T5">
            <v>350</v>
          </cell>
          <cell r="U5">
            <v>0</v>
          </cell>
          <cell r="V5">
            <v>0</v>
          </cell>
        </row>
        <row r="7">
          <cell r="E7">
            <v>4000</v>
          </cell>
          <cell r="F7">
            <v>0</v>
          </cell>
          <cell r="H7">
            <v>3336</v>
          </cell>
          <cell r="I7">
            <v>0</v>
          </cell>
          <cell r="J7">
            <v>0</v>
          </cell>
          <cell r="K7">
            <v>7200</v>
          </cell>
          <cell r="L7">
            <v>0</v>
          </cell>
          <cell r="M7">
            <v>0</v>
          </cell>
          <cell r="N7">
            <v>5200</v>
          </cell>
          <cell r="O7">
            <v>0</v>
          </cell>
          <cell r="P7">
            <v>0</v>
          </cell>
          <cell r="Q7">
            <v>0</v>
          </cell>
          <cell r="R7">
            <v>0</v>
          </cell>
          <cell r="S7">
            <v>0</v>
          </cell>
          <cell r="T7">
            <v>5200</v>
          </cell>
          <cell r="U7">
            <v>0</v>
          </cell>
          <cell r="V7">
            <v>0</v>
          </cell>
        </row>
        <row r="12">
          <cell r="E12">
            <v>13322.97</v>
          </cell>
          <cell r="F12">
            <v>0</v>
          </cell>
          <cell r="G12">
            <v>0</v>
          </cell>
          <cell r="H12">
            <v>14176.03</v>
          </cell>
          <cell r="I12">
            <v>0</v>
          </cell>
          <cell r="J12">
            <v>0</v>
          </cell>
          <cell r="K12">
            <v>10550</v>
          </cell>
          <cell r="L12">
            <v>0</v>
          </cell>
          <cell r="M12">
            <v>0</v>
          </cell>
          <cell r="N12">
            <v>10550</v>
          </cell>
          <cell r="O12">
            <v>0</v>
          </cell>
          <cell r="P12">
            <v>0</v>
          </cell>
          <cell r="Q12">
            <v>0</v>
          </cell>
          <cell r="R12">
            <v>0</v>
          </cell>
          <cell r="S12">
            <v>0</v>
          </cell>
          <cell r="T12">
            <v>10550</v>
          </cell>
          <cell r="U12">
            <v>0</v>
          </cell>
          <cell r="V12">
            <v>0</v>
          </cell>
        </row>
        <row r="20">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row>
        <row r="22">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row>
        <row r="27">
          <cell r="E27">
            <v>4725</v>
          </cell>
          <cell r="F27">
            <v>0</v>
          </cell>
          <cell r="G27">
            <v>0</v>
          </cell>
          <cell r="H27">
            <v>1575</v>
          </cell>
          <cell r="I27">
            <v>0</v>
          </cell>
          <cell r="J27">
            <v>0</v>
          </cell>
          <cell r="K27">
            <v>2000</v>
          </cell>
          <cell r="L27">
            <v>0</v>
          </cell>
          <cell r="M27">
            <v>0</v>
          </cell>
          <cell r="N27">
            <v>2210</v>
          </cell>
          <cell r="O27">
            <v>0</v>
          </cell>
          <cell r="P27">
            <v>0</v>
          </cell>
          <cell r="Q27">
            <v>0</v>
          </cell>
          <cell r="R27">
            <v>0</v>
          </cell>
          <cell r="S27">
            <v>0</v>
          </cell>
          <cell r="T27">
            <v>2210</v>
          </cell>
          <cell r="U27">
            <v>0</v>
          </cell>
          <cell r="V27">
            <v>0</v>
          </cell>
        </row>
        <row r="29">
          <cell r="E29">
            <v>8000</v>
          </cell>
          <cell r="F29">
            <v>0</v>
          </cell>
          <cell r="G29">
            <v>0</v>
          </cell>
          <cell r="H29">
            <v>8000</v>
          </cell>
          <cell r="I29">
            <v>0</v>
          </cell>
          <cell r="J29">
            <v>0</v>
          </cell>
          <cell r="K29">
            <v>4000</v>
          </cell>
          <cell r="L29">
            <v>0</v>
          </cell>
          <cell r="M29">
            <v>0</v>
          </cell>
          <cell r="N29">
            <v>4000</v>
          </cell>
          <cell r="O29">
            <v>0</v>
          </cell>
          <cell r="P29">
            <v>0</v>
          </cell>
          <cell r="Q29">
            <v>0</v>
          </cell>
          <cell r="R29">
            <v>0</v>
          </cell>
          <cell r="S29">
            <v>0</v>
          </cell>
          <cell r="T29">
            <v>4000</v>
          </cell>
          <cell r="U29">
            <v>0</v>
          </cell>
          <cell r="V29">
            <v>0</v>
          </cell>
        </row>
        <row r="32">
          <cell r="E32">
            <v>6049.58</v>
          </cell>
          <cell r="F32">
            <v>0</v>
          </cell>
          <cell r="G32">
            <v>0</v>
          </cell>
          <cell r="H32">
            <v>8286.25</v>
          </cell>
          <cell r="I32">
            <v>0</v>
          </cell>
          <cell r="J32">
            <v>0</v>
          </cell>
          <cell r="K32">
            <v>8800</v>
          </cell>
          <cell r="L32">
            <v>0</v>
          </cell>
          <cell r="M32">
            <v>0</v>
          </cell>
          <cell r="N32">
            <v>11101</v>
          </cell>
          <cell r="O32">
            <v>0</v>
          </cell>
          <cell r="P32">
            <v>0</v>
          </cell>
          <cell r="Q32">
            <v>3000</v>
          </cell>
          <cell r="R32">
            <v>0</v>
          </cell>
          <cell r="S32">
            <v>0</v>
          </cell>
          <cell r="T32">
            <v>14101</v>
          </cell>
          <cell r="U32">
            <v>0</v>
          </cell>
          <cell r="V32">
            <v>0</v>
          </cell>
        </row>
        <row r="46">
          <cell r="E46">
            <v>2200</v>
          </cell>
          <cell r="F46">
            <v>0</v>
          </cell>
          <cell r="G46">
            <v>0</v>
          </cell>
          <cell r="H46">
            <v>0</v>
          </cell>
          <cell r="I46">
            <v>0</v>
          </cell>
          <cell r="J46">
            <v>0</v>
          </cell>
          <cell r="K46">
            <v>1500</v>
          </cell>
          <cell r="L46">
            <v>0</v>
          </cell>
          <cell r="M46">
            <v>0</v>
          </cell>
          <cell r="N46">
            <v>1500</v>
          </cell>
          <cell r="O46">
            <v>0</v>
          </cell>
          <cell r="P46">
            <v>0</v>
          </cell>
          <cell r="Q46">
            <v>0</v>
          </cell>
          <cell r="R46">
            <v>0</v>
          </cell>
          <cell r="S46">
            <v>0</v>
          </cell>
          <cell r="T46">
            <v>1500</v>
          </cell>
          <cell r="U46">
            <v>0</v>
          </cell>
          <cell r="V46">
            <v>0</v>
          </cell>
        </row>
        <row r="51">
          <cell r="E51">
            <v>3904.8700000000003</v>
          </cell>
          <cell r="F51">
            <v>0</v>
          </cell>
          <cell r="G51">
            <v>0</v>
          </cell>
          <cell r="H51">
            <v>4791.32</v>
          </cell>
          <cell r="I51">
            <v>0</v>
          </cell>
          <cell r="J51">
            <v>0</v>
          </cell>
          <cell r="K51">
            <v>7900</v>
          </cell>
          <cell r="L51">
            <v>0</v>
          </cell>
          <cell r="M51">
            <v>0</v>
          </cell>
          <cell r="N51">
            <v>7599</v>
          </cell>
          <cell r="O51">
            <v>0</v>
          </cell>
          <cell r="P51">
            <v>0</v>
          </cell>
          <cell r="Q51">
            <v>0</v>
          </cell>
          <cell r="R51">
            <v>0</v>
          </cell>
          <cell r="S51">
            <v>0</v>
          </cell>
          <cell r="T51">
            <v>7599</v>
          </cell>
          <cell r="U51">
            <v>0</v>
          </cell>
          <cell r="V51">
            <v>0</v>
          </cell>
        </row>
      </sheetData>
      <sheetData sheetId="2">
        <row r="4">
          <cell r="E4">
            <v>87313.47</v>
          </cell>
          <cell r="F4">
            <v>8579.42</v>
          </cell>
          <cell r="G4">
            <v>0</v>
          </cell>
          <cell r="H4">
            <v>60032.15</v>
          </cell>
          <cell r="I4">
            <v>46741.8</v>
          </cell>
          <cell r="J4">
            <v>0</v>
          </cell>
          <cell r="K4">
            <v>90900</v>
          </cell>
          <cell r="L4">
            <v>148600</v>
          </cell>
          <cell r="M4">
            <v>0</v>
          </cell>
          <cell r="N4">
            <v>93900</v>
          </cell>
          <cell r="O4">
            <v>148600</v>
          </cell>
          <cell r="P4">
            <v>0</v>
          </cell>
          <cell r="Q4">
            <v>680</v>
          </cell>
          <cell r="R4">
            <v>-9700</v>
          </cell>
          <cell r="S4">
            <v>0</v>
          </cell>
          <cell r="T4">
            <v>94580</v>
          </cell>
          <cell r="U4">
            <v>138900</v>
          </cell>
          <cell r="V4">
            <v>0</v>
          </cell>
        </row>
        <row r="20">
          <cell r="E20">
            <v>5183.54</v>
          </cell>
          <cell r="F20">
            <v>0</v>
          </cell>
          <cell r="G20">
            <v>0</v>
          </cell>
          <cell r="H20">
            <v>522</v>
          </cell>
          <cell r="I20">
            <v>0</v>
          </cell>
          <cell r="J20">
            <v>0</v>
          </cell>
          <cell r="K20">
            <v>6000</v>
          </cell>
          <cell r="L20">
            <v>0</v>
          </cell>
          <cell r="M20">
            <v>0</v>
          </cell>
          <cell r="N20">
            <v>6000</v>
          </cell>
          <cell r="O20">
            <v>0</v>
          </cell>
          <cell r="P20">
            <v>0</v>
          </cell>
          <cell r="Q20">
            <v>0</v>
          </cell>
          <cell r="R20">
            <v>0</v>
          </cell>
          <cell r="S20">
            <v>0</v>
          </cell>
          <cell r="T20">
            <v>6000</v>
          </cell>
          <cell r="U20">
            <v>0</v>
          </cell>
          <cell r="V20">
            <v>0</v>
          </cell>
        </row>
        <row r="26">
          <cell r="E26">
            <v>375.28</v>
          </cell>
          <cell r="F26">
            <v>0</v>
          </cell>
          <cell r="G26">
            <v>0</v>
          </cell>
          <cell r="H26">
            <v>132</v>
          </cell>
          <cell r="I26">
            <v>0</v>
          </cell>
          <cell r="J26">
            <v>0</v>
          </cell>
          <cell r="K26">
            <v>800</v>
          </cell>
          <cell r="L26">
            <v>0</v>
          </cell>
          <cell r="M26">
            <v>0</v>
          </cell>
          <cell r="N26">
            <v>800</v>
          </cell>
          <cell r="O26">
            <v>0</v>
          </cell>
          <cell r="P26">
            <v>0</v>
          </cell>
          <cell r="Q26">
            <v>0</v>
          </cell>
          <cell r="R26">
            <v>0</v>
          </cell>
          <cell r="S26">
            <v>0</v>
          </cell>
          <cell r="T26">
            <v>800</v>
          </cell>
          <cell r="U26">
            <v>0</v>
          </cell>
          <cell r="V26">
            <v>0</v>
          </cell>
        </row>
        <row r="31">
          <cell r="E31">
            <v>10982.800000000001</v>
          </cell>
          <cell r="F31">
            <v>0</v>
          </cell>
          <cell r="G31">
            <v>0</v>
          </cell>
          <cell r="H31">
            <v>9987.0400000000009</v>
          </cell>
          <cell r="I31">
            <v>0</v>
          </cell>
          <cell r="J31">
            <v>0</v>
          </cell>
          <cell r="K31">
            <v>10200</v>
          </cell>
          <cell r="L31">
            <v>0</v>
          </cell>
          <cell r="M31">
            <v>0</v>
          </cell>
          <cell r="N31">
            <v>10200</v>
          </cell>
          <cell r="O31">
            <v>0</v>
          </cell>
          <cell r="P31">
            <v>0</v>
          </cell>
          <cell r="Q31">
            <v>0</v>
          </cell>
          <cell r="R31">
            <v>0</v>
          </cell>
          <cell r="S31">
            <v>0</v>
          </cell>
          <cell r="T31">
            <v>10200</v>
          </cell>
          <cell r="U31">
            <v>0</v>
          </cell>
          <cell r="V31">
            <v>0</v>
          </cell>
        </row>
        <row r="34">
          <cell r="E34">
            <v>147025.38000000006</v>
          </cell>
          <cell r="F34">
            <v>0</v>
          </cell>
          <cell r="G34">
            <v>0</v>
          </cell>
          <cell r="H34">
            <v>138909.40000000002</v>
          </cell>
          <cell r="I34">
            <v>0</v>
          </cell>
          <cell r="J34">
            <v>0</v>
          </cell>
          <cell r="K34">
            <v>200090</v>
          </cell>
          <cell r="L34">
            <v>0</v>
          </cell>
          <cell r="M34">
            <v>0</v>
          </cell>
          <cell r="N34">
            <v>196990</v>
          </cell>
          <cell r="O34">
            <v>0</v>
          </cell>
          <cell r="P34">
            <v>0</v>
          </cell>
          <cell r="Q34">
            <v>28360</v>
          </cell>
          <cell r="R34">
            <v>0</v>
          </cell>
          <cell r="S34">
            <v>0</v>
          </cell>
          <cell r="T34">
            <v>225350</v>
          </cell>
          <cell r="U34">
            <v>0</v>
          </cell>
          <cell r="V34">
            <v>0</v>
          </cell>
        </row>
        <row r="86">
          <cell r="E86">
            <v>1300</v>
          </cell>
          <cell r="F86">
            <v>11072.25</v>
          </cell>
          <cell r="G86">
            <v>0</v>
          </cell>
          <cell r="H86">
            <v>800</v>
          </cell>
          <cell r="I86">
            <v>0</v>
          </cell>
          <cell r="J86">
            <v>0</v>
          </cell>
          <cell r="K86">
            <v>2000</v>
          </cell>
          <cell r="L86">
            <v>0</v>
          </cell>
          <cell r="M86">
            <v>0</v>
          </cell>
          <cell r="N86">
            <v>2000</v>
          </cell>
          <cell r="O86">
            <v>0</v>
          </cell>
          <cell r="P86">
            <v>0</v>
          </cell>
          <cell r="Q86">
            <v>0</v>
          </cell>
          <cell r="R86">
            <v>0</v>
          </cell>
          <cell r="S86">
            <v>0</v>
          </cell>
          <cell r="T86">
            <v>2000</v>
          </cell>
          <cell r="U86">
            <v>0</v>
          </cell>
          <cell r="V86">
            <v>0</v>
          </cell>
        </row>
        <row r="91">
          <cell r="E91">
            <v>4965.4799999999996</v>
          </cell>
          <cell r="F91">
            <v>0</v>
          </cell>
          <cell r="G91">
            <v>0</v>
          </cell>
          <cell r="H91">
            <v>6577.58</v>
          </cell>
          <cell r="I91">
            <v>0</v>
          </cell>
          <cell r="J91">
            <v>0</v>
          </cell>
          <cell r="K91">
            <v>7000</v>
          </cell>
          <cell r="L91">
            <v>0</v>
          </cell>
          <cell r="M91">
            <v>0</v>
          </cell>
          <cell r="N91">
            <v>7000</v>
          </cell>
          <cell r="O91">
            <v>0</v>
          </cell>
          <cell r="P91">
            <v>0</v>
          </cell>
          <cell r="Q91">
            <v>0</v>
          </cell>
          <cell r="R91">
            <v>0</v>
          </cell>
          <cell r="S91">
            <v>0</v>
          </cell>
          <cell r="T91">
            <v>7000</v>
          </cell>
          <cell r="U91">
            <v>0</v>
          </cell>
          <cell r="V91">
            <v>0</v>
          </cell>
        </row>
        <row r="97">
          <cell r="E97">
            <v>550</v>
          </cell>
          <cell r="F97">
            <v>0</v>
          </cell>
          <cell r="G97">
            <v>0</v>
          </cell>
          <cell r="H97">
            <v>0</v>
          </cell>
          <cell r="I97">
            <v>0</v>
          </cell>
          <cell r="J97">
            <v>0</v>
          </cell>
          <cell r="K97">
            <v>550</v>
          </cell>
          <cell r="L97">
            <v>0</v>
          </cell>
          <cell r="M97">
            <v>0</v>
          </cell>
          <cell r="N97">
            <v>550</v>
          </cell>
          <cell r="O97">
            <v>0</v>
          </cell>
          <cell r="P97">
            <v>0</v>
          </cell>
          <cell r="Q97">
            <v>0</v>
          </cell>
          <cell r="R97">
            <v>0</v>
          </cell>
          <cell r="S97">
            <v>0</v>
          </cell>
          <cell r="T97">
            <v>550</v>
          </cell>
          <cell r="U97">
            <v>0</v>
          </cell>
          <cell r="V97">
            <v>0</v>
          </cell>
        </row>
      </sheetData>
      <sheetData sheetId="3">
        <row r="4">
          <cell r="E4">
            <v>13883.619999999999</v>
          </cell>
          <cell r="F4">
            <v>0</v>
          </cell>
          <cell r="G4">
            <v>0</v>
          </cell>
          <cell r="H4">
            <v>26097.149999999998</v>
          </cell>
          <cell r="I4">
            <v>0</v>
          </cell>
          <cell r="J4">
            <v>0</v>
          </cell>
          <cell r="K4">
            <v>25700</v>
          </cell>
          <cell r="L4">
            <v>0</v>
          </cell>
          <cell r="M4">
            <v>0</v>
          </cell>
          <cell r="N4">
            <v>25490</v>
          </cell>
          <cell r="O4">
            <v>0</v>
          </cell>
          <cell r="P4">
            <v>0</v>
          </cell>
          <cell r="Q4">
            <v>1500</v>
          </cell>
          <cell r="R4">
            <v>0</v>
          </cell>
          <cell r="S4">
            <v>0</v>
          </cell>
          <cell r="T4">
            <v>26990</v>
          </cell>
          <cell r="U4">
            <v>0</v>
          </cell>
          <cell r="V4">
            <v>0</v>
          </cell>
        </row>
        <row r="17">
          <cell r="E17">
            <v>26478.920000000002</v>
          </cell>
          <cell r="F17">
            <v>0</v>
          </cell>
          <cell r="G17">
            <v>0</v>
          </cell>
          <cell r="H17">
            <v>29173.579999999998</v>
          </cell>
          <cell r="I17">
            <v>0</v>
          </cell>
          <cell r="J17">
            <v>0</v>
          </cell>
          <cell r="K17">
            <v>29520</v>
          </cell>
          <cell r="L17">
            <v>0</v>
          </cell>
          <cell r="M17">
            <v>0</v>
          </cell>
          <cell r="N17">
            <v>29520</v>
          </cell>
          <cell r="O17">
            <v>0</v>
          </cell>
          <cell r="P17">
            <v>0</v>
          </cell>
          <cell r="Q17">
            <v>0</v>
          </cell>
          <cell r="R17">
            <v>0</v>
          </cell>
          <cell r="S17">
            <v>0</v>
          </cell>
          <cell r="T17">
            <v>29520</v>
          </cell>
          <cell r="U17">
            <v>0</v>
          </cell>
          <cell r="V17">
            <v>0</v>
          </cell>
        </row>
        <row r="28">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row>
        <row r="30">
          <cell r="E30"/>
          <cell r="F30"/>
          <cell r="G30"/>
          <cell r="H30"/>
          <cell r="I30"/>
          <cell r="J30"/>
          <cell r="K30"/>
          <cell r="L30"/>
          <cell r="M30"/>
          <cell r="N30"/>
          <cell r="O30"/>
          <cell r="P30"/>
          <cell r="Q30"/>
          <cell r="R30"/>
          <cell r="S30"/>
          <cell r="T30"/>
          <cell r="U30"/>
          <cell r="V30"/>
        </row>
      </sheetData>
      <sheetData sheetId="4">
        <row r="5">
          <cell r="E5">
            <v>574629.2300000001</v>
          </cell>
          <cell r="F5">
            <v>5590.42</v>
          </cell>
          <cell r="G5">
            <v>0</v>
          </cell>
          <cell r="H5">
            <v>614484.14000000025</v>
          </cell>
          <cell r="I5">
            <v>0</v>
          </cell>
          <cell r="J5">
            <v>0</v>
          </cell>
          <cell r="K5">
            <v>683160</v>
          </cell>
          <cell r="L5">
            <v>10000</v>
          </cell>
          <cell r="M5">
            <v>0</v>
          </cell>
          <cell r="N5">
            <v>681060</v>
          </cell>
          <cell r="O5">
            <v>17100</v>
          </cell>
          <cell r="P5">
            <v>0</v>
          </cell>
          <cell r="Q5">
            <v>0</v>
          </cell>
          <cell r="R5">
            <v>0</v>
          </cell>
          <cell r="S5">
            <v>0</v>
          </cell>
          <cell r="T5">
            <v>681060</v>
          </cell>
          <cell r="U5">
            <v>17100</v>
          </cell>
          <cell r="V5">
            <v>0</v>
          </cell>
        </row>
        <row r="60">
          <cell r="E60">
            <v>126077.17</v>
          </cell>
          <cell r="F60">
            <v>0</v>
          </cell>
          <cell r="G60">
            <v>0</v>
          </cell>
          <cell r="H60">
            <v>135675.71999999997</v>
          </cell>
          <cell r="I60">
            <v>0</v>
          </cell>
          <cell r="J60">
            <v>0</v>
          </cell>
          <cell r="K60">
            <v>162150</v>
          </cell>
          <cell r="L60">
            <v>0</v>
          </cell>
          <cell r="M60">
            <v>0</v>
          </cell>
          <cell r="N60">
            <v>162150</v>
          </cell>
          <cell r="O60">
            <v>0</v>
          </cell>
          <cell r="P60">
            <v>0</v>
          </cell>
          <cell r="Q60">
            <v>0</v>
          </cell>
          <cell r="R60">
            <v>0</v>
          </cell>
          <cell r="S60">
            <v>0</v>
          </cell>
          <cell r="T60">
            <v>162150</v>
          </cell>
          <cell r="U60">
            <v>0</v>
          </cell>
          <cell r="V60">
            <v>0</v>
          </cell>
        </row>
        <row r="82">
          <cell r="E82">
            <v>57242.55</v>
          </cell>
          <cell r="F82">
            <v>0</v>
          </cell>
          <cell r="G82">
            <v>0</v>
          </cell>
          <cell r="H82">
            <v>64184.92</v>
          </cell>
          <cell r="I82">
            <v>0</v>
          </cell>
          <cell r="J82">
            <v>0</v>
          </cell>
          <cell r="K82">
            <v>74000</v>
          </cell>
          <cell r="L82">
            <v>0</v>
          </cell>
          <cell r="M82">
            <v>0</v>
          </cell>
          <cell r="N82">
            <v>74000</v>
          </cell>
          <cell r="O82">
            <v>0</v>
          </cell>
          <cell r="P82">
            <v>0</v>
          </cell>
          <cell r="Q82">
            <v>0</v>
          </cell>
          <cell r="R82">
            <v>0</v>
          </cell>
          <cell r="S82">
            <v>0</v>
          </cell>
          <cell r="T82">
            <v>74000</v>
          </cell>
          <cell r="U82">
            <v>0</v>
          </cell>
          <cell r="V82">
            <v>0</v>
          </cell>
        </row>
        <row r="85">
          <cell r="E85">
            <v>57726.689999999995</v>
          </cell>
          <cell r="F85">
            <v>0</v>
          </cell>
          <cell r="G85">
            <v>0</v>
          </cell>
          <cell r="H85">
            <v>66988.260000000009</v>
          </cell>
          <cell r="I85">
            <v>0</v>
          </cell>
          <cell r="J85">
            <v>0</v>
          </cell>
          <cell r="K85">
            <v>75700</v>
          </cell>
          <cell r="L85">
            <v>0</v>
          </cell>
          <cell r="M85">
            <v>0</v>
          </cell>
          <cell r="N85">
            <v>75700</v>
          </cell>
          <cell r="O85">
            <v>0</v>
          </cell>
          <cell r="P85">
            <v>0</v>
          </cell>
          <cell r="Q85">
            <v>-1000</v>
          </cell>
          <cell r="R85">
            <v>0</v>
          </cell>
          <cell r="S85">
            <v>0</v>
          </cell>
          <cell r="T85">
            <v>74700</v>
          </cell>
          <cell r="U85">
            <v>0</v>
          </cell>
          <cell r="V85">
            <v>0</v>
          </cell>
        </row>
        <row r="93">
          <cell r="E93">
            <v>77467.839999999997</v>
          </cell>
          <cell r="F93">
            <v>0</v>
          </cell>
          <cell r="G93">
            <v>0</v>
          </cell>
          <cell r="H93">
            <v>1786.95</v>
          </cell>
          <cell r="I93">
            <v>0</v>
          </cell>
          <cell r="J93">
            <v>0</v>
          </cell>
          <cell r="K93">
            <v>5000</v>
          </cell>
          <cell r="L93">
            <v>0</v>
          </cell>
          <cell r="M93">
            <v>0</v>
          </cell>
          <cell r="N93">
            <v>5000</v>
          </cell>
          <cell r="O93">
            <v>0</v>
          </cell>
          <cell r="P93">
            <v>0</v>
          </cell>
          <cell r="Q93">
            <v>0</v>
          </cell>
          <cell r="R93">
            <v>0</v>
          </cell>
          <cell r="S93">
            <v>0</v>
          </cell>
          <cell r="T93">
            <v>5000</v>
          </cell>
          <cell r="U93">
            <v>0</v>
          </cell>
          <cell r="V93">
            <v>0</v>
          </cell>
        </row>
        <row r="95">
          <cell r="E95">
            <v>3509.87</v>
          </cell>
          <cell r="F95">
            <v>0</v>
          </cell>
          <cell r="G95">
            <v>0</v>
          </cell>
          <cell r="H95">
            <v>5423.37</v>
          </cell>
          <cell r="I95">
            <v>0</v>
          </cell>
          <cell r="J95">
            <v>0</v>
          </cell>
          <cell r="K95">
            <v>6150</v>
          </cell>
          <cell r="L95">
            <v>0</v>
          </cell>
          <cell r="M95">
            <v>0</v>
          </cell>
          <cell r="N95">
            <v>6150</v>
          </cell>
          <cell r="O95">
            <v>0</v>
          </cell>
          <cell r="P95">
            <v>0</v>
          </cell>
          <cell r="Q95">
            <v>2000</v>
          </cell>
          <cell r="R95">
            <v>0</v>
          </cell>
          <cell r="S95">
            <v>0</v>
          </cell>
          <cell r="T95">
            <v>8150</v>
          </cell>
          <cell r="U95">
            <v>0</v>
          </cell>
          <cell r="V95">
            <v>0</v>
          </cell>
        </row>
        <row r="113">
          <cell r="E113">
            <v>0</v>
          </cell>
          <cell r="F113">
            <v>115000</v>
          </cell>
          <cell r="G113">
            <v>0</v>
          </cell>
          <cell r="H113">
            <v>0</v>
          </cell>
          <cell r="I113">
            <v>115000</v>
          </cell>
          <cell r="J113">
            <v>0</v>
          </cell>
          <cell r="K113">
            <v>0</v>
          </cell>
          <cell r="L113">
            <v>115000</v>
          </cell>
          <cell r="M113">
            <v>0</v>
          </cell>
          <cell r="N113">
            <v>0</v>
          </cell>
          <cell r="O113">
            <v>115000</v>
          </cell>
          <cell r="P113">
            <v>0</v>
          </cell>
          <cell r="Q113">
            <v>0</v>
          </cell>
          <cell r="R113">
            <v>0</v>
          </cell>
          <cell r="S113">
            <v>0</v>
          </cell>
          <cell r="T113">
            <v>0</v>
          </cell>
          <cell r="U113">
            <v>115000</v>
          </cell>
          <cell r="V113">
            <v>0</v>
          </cell>
        </row>
        <row r="120">
          <cell r="E120">
            <v>88711.37</v>
          </cell>
          <cell r="F120">
            <v>0</v>
          </cell>
          <cell r="G120">
            <v>0</v>
          </cell>
          <cell r="H120">
            <v>95542.59</v>
          </cell>
          <cell r="I120">
            <v>0</v>
          </cell>
          <cell r="J120">
            <v>0</v>
          </cell>
          <cell r="K120">
            <v>100000</v>
          </cell>
          <cell r="L120">
            <v>0</v>
          </cell>
          <cell r="M120">
            <v>0</v>
          </cell>
          <cell r="N120">
            <v>100000</v>
          </cell>
          <cell r="O120">
            <v>0</v>
          </cell>
          <cell r="P120">
            <v>0</v>
          </cell>
          <cell r="Q120">
            <v>0</v>
          </cell>
          <cell r="R120">
            <v>0</v>
          </cell>
          <cell r="S120">
            <v>0</v>
          </cell>
          <cell r="T120">
            <v>100000</v>
          </cell>
          <cell r="U120">
            <v>0</v>
          </cell>
          <cell r="V120">
            <v>0</v>
          </cell>
        </row>
        <row r="123">
          <cell r="E123">
            <v>94515.24</v>
          </cell>
          <cell r="F123">
            <v>0</v>
          </cell>
          <cell r="G123">
            <v>0</v>
          </cell>
          <cell r="H123">
            <v>102076.75</v>
          </cell>
          <cell r="I123">
            <v>0</v>
          </cell>
          <cell r="J123">
            <v>0</v>
          </cell>
          <cell r="K123">
            <v>120000</v>
          </cell>
          <cell r="L123">
            <v>0</v>
          </cell>
          <cell r="M123">
            <v>0</v>
          </cell>
          <cell r="N123">
            <v>120000</v>
          </cell>
          <cell r="O123">
            <v>0</v>
          </cell>
          <cell r="P123">
            <v>0</v>
          </cell>
          <cell r="Q123">
            <v>20000</v>
          </cell>
          <cell r="R123">
            <v>0</v>
          </cell>
          <cell r="S123">
            <v>0</v>
          </cell>
          <cell r="T123">
            <v>140000</v>
          </cell>
          <cell r="U123">
            <v>0</v>
          </cell>
          <cell r="V123">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row>
        <row r="130">
          <cell r="E130">
            <v>5000</v>
          </cell>
          <cell r="F130">
            <v>0</v>
          </cell>
          <cell r="G130">
            <v>0</v>
          </cell>
          <cell r="H130">
            <v>2772.61</v>
          </cell>
          <cell r="I130">
            <v>0</v>
          </cell>
          <cell r="J130">
            <v>0</v>
          </cell>
          <cell r="K130">
            <v>5000</v>
          </cell>
          <cell r="L130">
            <v>0</v>
          </cell>
          <cell r="M130">
            <v>0</v>
          </cell>
          <cell r="N130">
            <v>6187</v>
          </cell>
          <cell r="O130">
            <v>0</v>
          </cell>
          <cell r="P130">
            <v>0</v>
          </cell>
          <cell r="Q130">
            <v>0</v>
          </cell>
          <cell r="R130">
            <v>0</v>
          </cell>
          <cell r="S130">
            <v>0</v>
          </cell>
          <cell r="T130">
            <v>6187</v>
          </cell>
          <cell r="U130">
            <v>0</v>
          </cell>
          <cell r="V130">
            <v>0</v>
          </cell>
        </row>
        <row r="132">
          <cell r="E132">
            <v>3000</v>
          </cell>
          <cell r="F132">
            <v>0</v>
          </cell>
          <cell r="G132">
            <v>0</v>
          </cell>
          <cell r="H132">
            <v>3000</v>
          </cell>
          <cell r="I132">
            <v>0</v>
          </cell>
          <cell r="J132">
            <v>0</v>
          </cell>
          <cell r="K132">
            <v>3000</v>
          </cell>
          <cell r="L132">
            <v>0</v>
          </cell>
          <cell r="M132">
            <v>0</v>
          </cell>
          <cell r="N132">
            <v>3000</v>
          </cell>
          <cell r="O132">
            <v>0</v>
          </cell>
          <cell r="P132">
            <v>0</v>
          </cell>
          <cell r="Q132">
            <v>0</v>
          </cell>
          <cell r="R132">
            <v>0</v>
          </cell>
          <cell r="S132">
            <v>0</v>
          </cell>
          <cell r="T132">
            <v>3000</v>
          </cell>
          <cell r="U132">
            <v>0</v>
          </cell>
          <cell r="V132">
            <v>0</v>
          </cell>
        </row>
      </sheetData>
      <sheetData sheetId="5">
        <row r="5">
          <cell r="E5">
            <v>8825.25</v>
          </cell>
          <cell r="F5">
            <v>90773.48</v>
          </cell>
          <cell r="G5">
            <v>0</v>
          </cell>
          <cell r="H5">
            <v>3652.39</v>
          </cell>
          <cell r="I5">
            <v>98126.34</v>
          </cell>
          <cell r="J5">
            <v>0</v>
          </cell>
          <cell r="K5">
            <v>3000</v>
          </cell>
          <cell r="L5">
            <v>0</v>
          </cell>
          <cell r="M5">
            <v>0</v>
          </cell>
          <cell r="N5">
            <v>9100</v>
          </cell>
          <cell r="O5">
            <v>0</v>
          </cell>
          <cell r="P5">
            <v>0</v>
          </cell>
          <cell r="Q5">
            <v>0</v>
          </cell>
          <cell r="R5">
            <v>0</v>
          </cell>
          <cell r="S5">
            <v>0</v>
          </cell>
          <cell r="T5">
            <v>9100</v>
          </cell>
          <cell r="U5">
            <v>0</v>
          </cell>
          <cell r="V5">
            <v>0</v>
          </cell>
        </row>
        <row r="10">
          <cell r="E10">
            <v>726797.29</v>
          </cell>
          <cell r="F10">
            <v>0</v>
          </cell>
          <cell r="G10">
            <v>0</v>
          </cell>
          <cell r="H10">
            <v>901107.79</v>
          </cell>
          <cell r="I10">
            <v>0</v>
          </cell>
          <cell r="J10">
            <v>0</v>
          </cell>
          <cell r="K10">
            <v>1047000</v>
          </cell>
          <cell r="L10">
            <v>0</v>
          </cell>
          <cell r="M10">
            <v>0</v>
          </cell>
          <cell r="N10">
            <v>1036913</v>
          </cell>
          <cell r="O10">
            <v>0</v>
          </cell>
          <cell r="P10">
            <v>0</v>
          </cell>
          <cell r="Q10">
            <v>10000</v>
          </cell>
          <cell r="R10">
            <v>0</v>
          </cell>
          <cell r="S10">
            <v>0</v>
          </cell>
          <cell r="T10">
            <v>1046913</v>
          </cell>
          <cell r="U10">
            <v>0</v>
          </cell>
          <cell r="V10">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row>
        <row r="29">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row>
        <row r="31">
          <cell r="E31">
            <v>136138.75</v>
          </cell>
          <cell r="F31">
            <v>0</v>
          </cell>
          <cell r="G31">
            <v>0</v>
          </cell>
          <cell r="H31">
            <v>145250.74</v>
          </cell>
          <cell r="I31">
            <v>0</v>
          </cell>
          <cell r="J31">
            <v>0</v>
          </cell>
          <cell r="K31">
            <v>151000</v>
          </cell>
          <cell r="L31">
            <v>0</v>
          </cell>
          <cell r="M31">
            <v>0</v>
          </cell>
          <cell r="N31">
            <v>151000</v>
          </cell>
          <cell r="O31">
            <v>0</v>
          </cell>
          <cell r="P31">
            <v>0</v>
          </cell>
          <cell r="Q31">
            <v>36500</v>
          </cell>
          <cell r="R31">
            <v>0</v>
          </cell>
          <cell r="S31">
            <v>0</v>
          </cell>
          <cell r="T31">
            <v>187500</v>
          </cell>
          <cell r="U31">
            <v>0</v>
          </cell>
          <cell r="V31">
            <v>0</v>
          </cell>
        </row>
      </sheetData>
      <sheetData sheetId="6">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row>
        <row r="7">
          <cell r="E7">
            <v>0</v>
          </cell>
          <cell r="F7">
            <v>139993.16</v>
          </cell>
          <cell r="G7">
            <v>0</v>
          </cell>
          <cell r="H7">
            <v>0</v>
          </cell>
          <cell r="I7">
            <v>239576.87</v>
          </cell>
          <cell r="J7">
            <v>0</v>
          </cell>
          <cell r="K7">
            <v>0</v>
          </cell>
          <cell r="L7">
            <v>227000</v>
          </cell>
          <cell r="M7">
            <v>0</v>
          </cell>
          <cell r="N7">
            <v>0</v>
          </cell>
          <cell r="O7">
            <v>227000</v>
          </cell>
          <cell r="P7">
            <v>0</v>
          </cell>
          <cell r="Q7">
            <v>0</v>
          </cell>
          <cell r="R7">
            <v>0</v>
          </cell>
          <cell r="S7">
            <v>0</v>
          </cell>
          <cell r="T7">
            <v>0</v>
          </cell>
          <cell r="U7">
            <v>227000</v>
          </cell>
          <cell r="V7">
            <v>0</v>
          </cell>
        </row>
        <row r="15">
          <cell r="E15">
            <v>69700.92</v>
          </cell>
          <cell r="F15">
            <v>0</v>
          </cell>
          <cell r="G15">
            <v>0</v>
          </cell>
          <cell r="H15">
            <v>81820.800000000003</v>
          </cell>
          <cell r="I15">
            <v>0</v>
          </cell>
          <cell r="J15">
            <v>0</v>
          </cell>
          <cell r="K15">
            <v>90000</v>
          </cell>
          <cell r="L15">
            <v>0</v>
          </cell>
          <cell r="M15">
            <v>0</v>
          </cell>
          <cell r="N15">
            <v>90000</v>
          </cell>
          <cell r="O15">
            <v>0</v>
          </cell>
          <cell r="P15">
            <v>0</v>
          </cell>
          <cell r="Q15">
            <v>0</v>
          </cell>
          <cell r="R15">
            <v>0</v>
          </cell>
          <cell r="S15">
            <v>0</v>
          </cell>
          <cell r="T15">
            <v>90000</v>
          </cell>
          <cell r="U15">
            <v>0</v>
          </cell>
          <cell r="V15">
            <v>0</v>
          </cell>
        </row>
        <row r="17">
          <cell r="E17">
            <v>267230.02</v>
          </cell>
          <cell r="F17">
            <v>0</v>
          </cell>
          <cell r="G17">
            <v>0</v>
          </cell>
          <cell r="H17">
            <v>278420.57</v>
          </cell>
          <cell r="I17">
            <v>0</v>
          </cell>
          <cell r="J17">
            <v>0</v>
          </cell>
          <cell r="K17">
            <v>180000</v>
          </cell>
          <cell r="L17">
            <v>0</v>
          </cell>
          <cell r="M17">
            <v>0</v>
          </cell>
          <cell r="N17">
            <v>180000</v>
          </cell>
          <cell r="O17">
            <v>0</v>
          </cell>
          <cell r="P17">
            <v>0</v>
          </cell>
          <cell r="Q17">
            <v>60000</v>
          </cell>
          <cell r="R17">
            <v>0</v>
          </cell>
          <cell r="S17">
            <v>0</v>
          </cell>
          <cell r="T17">
            <v>240000</v>
          </cell>
          <cell r="U17">
            <v>0</v>
          </cell>
          <cell r="V17">
            <v>0</v>
          </cell>
        </row>
        <row r="19">
          <cell r="E19">
            <v>79756.25</v>
          </cell>
          <cell r="F19">
            <v>0</v>
          </cell>
          <cell r="G19">
            <v>0</v>
          </cell>
          <cell r="H19">
            <v>84723.44</v>
          </cell>
          <cell r="I19">
            <v>0</v>
          </cell>
          <cell r="J19">
            <v>0</v>
          </cell>
          <cell r="K19">
            <v>85600</v>
          </cell>
          <cell r="L19">
            <v>0</v>
          </cell>
          <cell r="M19">
            <v>0</v>
          </cell>
          <cell r="N19">
            <v>85600</v>
          </cell>
          <cell r="O19">
            <v>0</v>
          </cell>
          <cell r="P19">
            <v>0</v>
          </cell>
          <cell r="Q19">
            <v>0</v>
          </cell>
          <cell r="R19">
            <v>0</v>
          </cell>
          <cell r="S19">
            <v>0</v>
          </cell>
          <cell r="T19">
            <v>85600</v>
          </cell>
          <cell r="U19">
            <v>0</v>
          </cell>
          <cell r="V19">
            <v>0</v>
          </cell>
        </row>
        <row r="26">
          <cell r="E26">
            <v>26394.06</v>
          </cell>
          <cell r="F26">
            <v>0</v>
          </cell>
          <cell r="G26">
            <v>0</v>
          </cell>
          <cell r="H26">
            <v>27223.5</v>
          </cell>
          <cell r="I26">
            <v>0</v>
          </cell>
          <cell r="J26">
            <v>0</v>
          </cell>
          <cell r="K26">
            <v>20000</v>
          </cell>
          <cell r="L26">
            <v>0</v>
          </cell>
          <cell r="M26">
            <v>0</v>
          </cell>
          <cell r="N26">
            <v>20000</v>
          </cell>
          <cell r="O26">
            <v>0</v>
          </cell>
          <cell r="P26">
            <v>0</v>
          </cell>
          <cell r="Q26">
            <v>0</v>
          </cell>
          <cell r="R26">
            <v>0</v>
          </cell>
          <cell r="S26">
            <v>0</v>
          </cell>
          <cell r="T26">
            <v>20000</v>
          </cell>
          <cell r="U26">
            <v>0</v>
          </cell>
          <cell r="V26">
            <v>0</v>
          </cell>
        </row>
        <row r="28">
          <cell r="E28">
            <v>8396.16</v>
          </cell>
          <cell r="F28">
            <v>0</v>
          </cell>
          <cell r="G28">
            <v>0</v>
          </cell>
          <cell r="H28">
            <v>11500.95</v>
          </cell>
          <cell r="I28">
            <v>18007.169999999998</v>
          </cell>
          <cell r="J28">
            <v>0</v>
          </cell>
          <cell r="K28">
            <v>10000</v>
          </cell>
          <cell r="L28">
            <v>16800</v>
          </cell>
          <cell r="M28">
            <v>0</v>
          </cell>
          <cell r="N28">
            <v>10000</v>
          </cell>
          <cell r="O28">
            <v>16800</v>
          </cell>
          <cell r="P28">
            <v>0</v>
          </cell>
          <cell r="Q28">
            <v>0</v>
          </cell>
          <cell r="R28">
            <v>0</v>
          </cell>
          <cell r="S28">
            <v>0</v>
          </cell>
          <cell r="T28">
            <v>10000</v>
          </cell>
          <cell r="U28">
            <v>16800</v>
          </cell>
          <cell r="V28">
            <v>0</v>
          </cell>
        </row>
        <row r="31">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row>
        <row r="33">
          <cell r="E33">
            <v>29547.97</v>
          </cell>
          <cell r="F33">
            <v>0</v>
          </cell>
          <cell r="G33">
            <v>0</v>
          </cell>
          <cell r="H33">
            <v>9482.4599999999991</v>
          </cell>
          <cell r="I33">
            <v>0</v>
          </cell>
          <cell r="J33">
            <v>0</v>
          </cell>
          <cell r="K33">
            <v>20000</v>
          </cell>
          <cell r="L33">
            <v>0</v>
          </cell>
          <cell r="M33">
            <v>0</v>
          </cell>
          <cell r="N33">
            <v>20000</v>
          </cell>
          <cell r="O33">
            <v>0</v>
          </cell>
          <cell r="P33">
            <v>0</v>
          </cell>
          <cell r="Q33">
            <v>0</v>
          </cell>
          <cell r="R33">
            <v>0</v>
          </cell>
          <cell r="S33">
            <v>0</v>
          </cell>
          <cell r="T33">
            <v>20000</v>
          </cell>
          <cell r="U33">
            <v>0</v>
          </cell>
          <cell r="V33">
            <v>0</v>
          </cell>
        </row>
        <row r="36">
          <cell r="E36">
            <v>0</v>
          </cell>
          <cell r="F36">
            <v>0</v>
          </cell>
          <cell r="G36">
            <v>0</v>
          </cell>
          <cell r="H36">
            <v>0</v>
          </cell>
          <cell r="I36">
            <v>0</v>
          </cell>
          <cell r="J36">
            <v>0</v>
          </cell>
          <cell r="K36">
            <v>950</v>
          </cell>
          <cell r="L36">
            <v>5791600</v>
          </cell>
          <cell r="M36">
            <v>0</v>
          </cell>
          <cell r="N36">
            <v>950</v>
          </cell>
          <cell r="O36">
            <v>5791600</v>
          </cell>
          <cell r="P36">
            <v>0</v>
          </cell>
          <cell r="Q36">
            <v>0</v>
          </cell>
          <cell r="R36">
            <v>116500</v>
          </cell>
          <cell r="S36">
            <v>0</v>
          </cell>
          <cell r="T36">
            <v>950</v>
          </cell>
          <cell r="U36">
            <v>5908100</v>
          </cell>
          <cell r="V36">
            <v>0</v>
          </cell>
        </row>
        <row r="39">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row>
      </sheetData>
      <sheetData sheetId="7">
        <row r="4">
          <cell r="E4">
            <v>150295.24</v>
          </cell>
          <cell r="F4">
            <v>0</v>
          </cell>
          <cell r="G4">
            <v>0</v>
          </cell>
          <cell r="H4">
            <v>154445.03</v>
          </cell>
          <cell r="I4">
            <v>0</v>
          </cell>
          <cell r="J4">
            <v>0</v>
          </cell>
          <cell r="K4">
            <v>170000</v>
          </cell>
          <cell r="L4">
            <v>0</v>
          </cell>
          <cell r="M4">
            <v>0</v>
          </cell>
          <cell r="N4">
            <v>170000</v>
          </cell>
          <cell r="O4">
            <v>0</v>
          </cell>
          <cell r="P4">
            <v>0</v>
          </cell>
          <cell r="Q4">
            <v>31000</v>
          </cell>
          <cell r="R4">
            <v>0</v>
          </cell>
          <cell r="S4">
            <v>0</v>
          </cell>
          <cell r="T4">
            <v>201000</v>
          </cell>
          <cell r="U4">
            <v>0</v>
          </cell>
          <cell r="V4">
            <v>0</v>
          </cell>
        </row>
        <row r="7">
          <cell r="E7">
            <v>0</v>
          </cell>
          <cell r="F7">
            <v>0</v>
          </cell>
          <cell r="G7">
            <v>0</v>
          </cell>
          <cell r="H7">
            <v>470</v>
          </cell>
          <cell r="I7">
            <v>0</v>
          </cell>
          <cell r="J7">
            <v>0</v>
          </cell>
          <cell r="K7">
            <v>2000</v>
          </cell>
          <cell r="L7">
            <v>0</v>
          </cell>
          <cell r="M7">
            <v>0</v>
          </cell>
          <cell r="N7">
            <v>2000</v>
          </cell>
          <cell r="O7">
            <v>0</v>
          </cell>
          <cell r="P7">
            <v>0</v>
          </cell>
          <cell r="Q7">
            <v>0</v>
          </cell>
          <cell r="R7">
            <v>0</v>
          </cell>
          <cell r="S7">
            <v>0</v>
          </cell>
          <cell r="T7">
            <v>2000</v>
          </cell>
          <cell r="U7">
            <v>0</v>
          </cell>
          <cell r="V7">
            <v>0</v>
          </cell>
        </row>
      </sheetData>
      <sheetData sheetId="8">
        <row r="4">
          <cell r="E4">
            <v>3597.5100000000007</v>
          </cell>
          <cell r="F4">
            <v>0</v>
          </cell>
          <cell r="G4">
            <v>0</v>
          </cell>
          <cell r="H4">
            <v>4748.91</v>
          </cell>
          <cell r="I4">
            <v>0</v>
          </cell>
          <cell r="J4">
            <v>0</v>
          </cell>
          <cell r="K4">
            <v>5000</v>
          </cell>
          <cell r="L4">
            <v>0</v>
          </cell>
          <cell r="M4">
            <v>0</v>
          </cell>
          <cell r="N4">
            <v>5000</v>
          </cell>
          <cell r="O4">
            <v>0</v>
          </cell>
          <cell r="P4">
            <v>0</v>
          </cell>
          <cell r="Q4">
            <v>0</v>
          </cell>
          <cell r="R4">
            <v>0</v>
          </cell>
          <cell r="S4">
            <v>0</v>
          </cell>
          <cell r="T4">
            <v>5000</v>
          </cell>
          <cell r="U4">
            <v>0</v>
          </cell>
          <cell r="V4">
            <v>0</v>
          </cell>
        </row>
        <row r="20">
          <cell r="E20">
            <v>201563</v>
          </cell>
          <cell r="F20"/>
          <cell r="G20"/>
          <cell r="H20">
            <v>210497</v>
          </cell>
          <cell r="I20"/>
          <cell r="J20"/>
          <cell r="K20">
            <v>239880</v>
          </cell>
          <cell r="L20"/>
          <cell r="M20"/>
          <cell r="N20">
            <v>239880</v>
          </cell>
          <cell r="O20"/>
          <cell r="P20"/>
          <cell r="Q20">
            <v>5300</v>
          </cell>
          <cell r="R20"/>
          <cell r="S20"/>
          <cell r="T20">
            <v>245180</v>
          </cell>
          <cell r="U20">
            <v>0</v>
          </cell>
          <cell r="V20">
            <v>0</v>
          </cell>
        </row>
        <row r="21">
          <cell r="E21">
            <v>311175</v>
          </cell>
          <cell r="F21">
            <v>15046</v>
          </cell>
          <cell r="G21"/>
          <cell r="H21">
            <v>359043</v>
          </cell>
          <cell r="I21">
            <v>32063.26</v>
          </cell>
          <cell r="J21"/>
          <cell r="K21">
            <v>409800</v>
          </cell>
          <cell r="L21"/>
          <cell r="M21"/>
          <cell r="N21">
            <v>409800</v>
          </cell>
          <cell r="O21"/>
          <cell r="P21"/>
          <cell r="Q21"/>
          <cell r="R21">
            <v>11000</v>
          </cell>
          <cell r="S21"/>
          <cell r="T21">
            <v>409800</v>
          </cell>
          <cell r="U21">
            <v>11000</v>
          </cell>
          <cell r="V21">
            <v>0</v>
          </cell>
        </row>
        <row r="22">
          <cell r="E22">
            <v>488852</v>
          </cell>
          <cell r="F22">
            <v>11680.96</v>
          </cell>
          <cell r="G22"/>
          <cell r="H22">
            <v>531346</v>
          </cell>
          <cell r="I22">
            <v>10338</v>
          </cell>
          <cell r="J22"/>
          <cell r="K22">
            <v>606330</v>
          </cell>
          <cell r="L22"/>
          <cell r="M22"/>
          <cell r="N22">
            <v>606330</v>
          </cell>
          <cell r="O22"/>
          <cell r="P22"/>
          <cell r="Q22"/>
          <cell r="R22"/>
          <cell r="S22"/>
          <cell r="T22">
            <v>606330</v>
          </cell>
          <cell r="U22">
            <v>0</v>
          </cell>
          <cell r="V22">
            <v>0</v>
          </cell>
        </row>
        <row r="23">
          <cell r="E23"/>
          <cell r="F23"/>
          <cell r="G23"/>
          <cell r="H23"/>
          <cell r="I23"/>
          <cell r="J23"/>
          <cell r="K23"/>
          <cell r="L23"/>
          <cell r="M23"/>
          <cell r="N23"/>
          <cell r="O23"/>
          <cell r="P23"/>
          <cell r="Q23"/>
          <cell r="R23"/>
          <cell r="S23"/>
          <cell r="T23">
            <v>0</v>
          </cell>
          <cell r="U23">
            <v>0</v>
          </cell>
          <cell r="V23">
            <v>0</v>
          </cell>
        </row>
        <row r="24">
          <cell r="E24">
            <v>242603</v>
          </cell>
          <cell r="F24"/>
          <cell r="G24"/>
          <cell r="H24">
            <v>264583</v>
          </cell>
          <cell r="I24">
            <v>31406.5</v>
          </cell>
          <cell r="J24"/>
          <cell r="K24">
            <v>308240</v>
          </cell>
          <cell r="L24"/>
          <cell r="M24"/>
          <cell r="N24">
            <v>308240</v>
          </cell>
          <cell r="O24"/>
          <cell r="P24"/>
          <cell r="Q24"/>
          <cell r="R24"/>
          <cell r="S24"/>
          <cell r="T24">
            <v>308240</v>
          </cell>
          <cell r="U24">
            <v>0</v>
          </cell>
          <cell r="V24">
            <v>0</v>
          </cell>
        </row>
        <row r="25">
          <cell r="E25">
            <v>259796</v>
          </cell>
          <cell r="F25"/>
          <cell r="G25"/>
          <cell r="H25">
            <v>285348</v>
          </cell>
          <cell r="I25">
            <v>5892</v>
          </cell>
          <cell r="J25"/>
          <cell r="K25">
            <v>339530</v>
          </cell>
          <cell r="L25"/>
          <cell r="M25"/>
          <cell r="N25">
            <v>339530</v>
          </cell>
          <cell r="O25"/>
          <cell r="P25"/>
          <cell r="Q25"/>
          <cell r="R25"/>
          <cell r="S25"/>
          <cell r="T25">
            <v>339530</v>
          </cell>
          <cell r="U25">
            <v>0</v>
          </cell>
          <cell r="V25">
            <v>0</v>
          </cell>
        </row>
        <row r="26">
          <cell r="E26">
            <v>258931</v>
          </cell>
          <cell r="F26">
            <v>56375.12</v>
          </cell>
          <cell r="G26"/>
          <cell r="H26">
            <v>293561</v>
          </cell>
          <cell r="I26"/>
          <cell r="J26"/>
          <cell r="K26">
            <v>329160</v>
          </cell>
          <cell r="L26"/>
          <cell r="M26"/>
          <cell r="N26">
            <v>329160</v>
          </cell>
          <cell r="O26"/>
          <cell r="P26"/>
          <cell r="Q26"/>
          <cell r="R26"/>
          <cell r="S26"/>
          <cell r="T26">
            <v>329160</v>
          </cell>
          <cell r="U26">
            <v>0</v>
          </cell>
          <cell r="V26">
            <v>0</v>
          </cell>
        </row>
        <row r="27">
          <cell r="E27">
            <v>42840</v>
          </cell>
          <cell r="F27"/>
          <cell r="G27"/>
          <cell r="H27">
            <v>84240</v>
          </cell>
          <cell r="I27"/>
          <cell r="J27"/>
          <cell r="K27">
            <v>81500</v>
          </cell>
          <cell r="L27"/>
          <cell r="M27"/>
          <cell r="N27">
            <v>81500</v>
          </cell>
          <cell r="O27"/>
          <cell r="P27"/>
          <cell r="Q27">
            <v>237</v>
          </cell>
          <cell r="R27"/>
          <cell r="S27"/>
          <cell r="T27">
            <v>81737</v>
          </cell>
          <cell r="U27">
            <v>0</v>
          </cell>
          <cell r="V27">
            <v>0</v>
          </cell>
        </row>
        <row r="29">
          <cell r="E29">
            <v>549672</v>
          </cell>
          <cell r="F29">
            <v>9240</v>
          </cell>
          <cell r="G29">
            <v>0</v>
          </cell>
          <cell r="H29">
            <v>608940</v>
          </cell>
          <cell r="I29">
            <v>3000</v>
          </cell>
          <cell r="J29">
            <v>0</v>
          </cell>
          <cell r="K29">
            <v>721100</v>
          </cell>
          <cell r="L29">
            <v>0</v>
          </cell>
          <cell r="M29">
            <v>0</v>
          </cell>
          <cell r="N29">
            <v>721100</v>
          </cell>
          <cell r="O29">
            <v>0</v>
          </cell>
          <cell r="P29">
            <v>0</v>
          </cell>
          <cell r="Q29">
            <v>0</v>
          </cell>
          <cell r="R29">
            <v>0</v>
          </cell>
          <cell r="S29">
            <v>0</v>
          </cell>
          <cell r="T29">
            <v>721100</v>
          </cell>
          <cell r="U29">
            <v>0</v>
          </cell>
          <cell r="V29">
            <v>0</v>
          </cell>
        </row>
        <row r="32">
          <cell r="E32">
            <v>855440</v>
          </cell>
          <cell r="F32">
            <v>0</v>
          </cell>
          <cell r="G32">
            <v>0</v>
          </cell>
          <cell r="H32">
            <v>928620</v>
          </cell>
          <cell r="I32">
            <v>2730</v>
          </cell>
          <cell r="J32">
            <v>0</v>
          </cell>
          <cell r="K32">
            <v>1052000</v>
          </cell>
          <cell r="L32">
            <v>0</v>
          </cell>
          <cell r="M32">
            <v>0</v>
          </cell>
          <cell r="N32">
            <v>1052000</v>
          </cell>
          <cell r="O32">
            <v>0</v>
          </cell>
          <cell r="P32">
            <v>0</v>
          </cell>
          <cell r="Q32">
            <v>0</v>
          </cell>
          <cell r="R32">
            <v>0</v>
          </cell>
          <cell r="S32">
            <v>0</v>
          </cell>
          <cell r="T32">
            <v>1052000</v>
          </cell>
          <cell r="U32">
            <v>0</v>
          </cell>
          <cell r="V32">
            <v>0</v>
          </cell>
        </row>
        <row r="36">
          <cell r="E36">
            <v>1485900</v>
          </cell>
          <cell r="F36">
            <v>0</v>
          </cell>
          <cell r="G36">
            <v>0</v>
          </cell>
          <cell r="H36">
            <v>1617665.25</v>
          </cell>
          <cell r="I36">
            <v>5999.5</v>
          </cell>
          <cell r="J36">
            <v>0</v>
          </cell>
          <cell r="K36">
            <v>1855600</v>
          </cell>
          <cell r="L36">
            <v>0</v>
          </cell>
          <cell r="M36">
            <v>0</v>
          </cell>
          <cell r="N36">
            <v>1855600</v>
          </cell>
          <cell r="O36">
            <v>0</v>
          </cell>
          <cell r="P36">
            <v>0</v>
          </cell>
          <cell r="Q36">
            <v>0</v>
          </cell>
          <cell r="R36">
            <v>0</v>
          </cell>
          <cell r="S36">
            <v>0</v>
          </cell>
          <cell r="T36">
            <v>1855600</v>
          </cell>
          <cell r="U36">
            <v>0</v>
          </cell>
          <cell r="V36">
            <v>0</v>
          </cell>
        </row>
        <row r="41">
          <cell r="E41">
            <v>1253413</v>
          </cell>
          <cell r="F41">
            <v>68637.929999999993</v>
          </cell>
          <cell r="G41">
            <v>0</v>
          </cell>
          <cell r="H41">
            <v>1303599.23</v>
          </cell>
          <cell r="I41">
            <v>0</v>
          </cell>
          <cell r="J41">
            <v>0</v>
          </cell>
          <cell r="K41">
            <v>1552300</v>
          </cell>
          <cell r="L41">
            <v>0</v>
          </cell>
          <cell r="M41">
            <v>0</v>
          </cell>
          <cell r="N41">
            <v>1552300</v>
          </cell>
          <cell r="O41">
            <v>0</v>
          </cell>
          <cell r="P41">
            <v>0</v>
          </cell>
          <cell r="Q41">
            <v>0</v>
          </cell>
          <cell r="R41">
            <v>0</v>
          </cell>
          <cell r="S41">
            <v>0</v>
          </cell>
          <cell r="T41">
            <v>1552300</v>
          </cell>
          <cell r="U41">
            <v>0</v>
          </cell>
          <cell r="V41">
            <v>0</v>
          </cell>
        </row>
        <row r="44">
          <cell r="E44">
            <v>1026169</v>
          </cell>
          <cell r="F44">
            <v>0</v>
          </cell>
          <cell r="G44">
            <v>0</v>
          </cell>
          <cell r="H44">
            <v>1012962.54</v>
          </cell>
          <cell r="I44">
            <v>234421.07</v>
          </cell>
          <cell r="J44">
            <v>0</v>
          </cell>
          <cell r="K44">
            <v>1153500</v>
          </cell>
          <cell r="L44">
            <v>0</v>
          </cell>
          <cell r="M44">
            <v>0</v>
          </cell>
          <cell r="N44">
            <v>1153500</v>
          </cell>
          <cell r="O44">
            <v>0</v>
          </cell>
          <cell r="P44">
            <v>0</v>
          </cell>
          <cell r="Q44">
            <v>0</v>
          </cell>
          <cell r="R44">
            <v>0</v>
          </cell>
          <cell r="S44">
            <v>0</v>
          </cell>
          <cell r="T44">
            <v>1153500</v>
          </cell>
          <cell r="U44">
            <v>0</v>
          </cell>
          <cell r="V44">
            <v>0</v>
          </cell>
        </row>
        <row r="47">
          <cell r="E47">
            <v>590147</v>
          </cell>
          <cell r="F47">
            <v>0</v>
          </cell>
          <cell r="G47">
            <v>0</v>
          </cell>
          <cell r="H47">
            <v>636545</v>
          </cell>
          <cell r="I47">
            <v>0</v>
          </cell>
          <cell r="J47">
            <v>0</v>
          </cell>
          <cell r="K47">
            <v>718400</v>
          </cell>
          <cell r="L47">
            <v>0</v>
          </cell>
          <cell r="M47">
            <v>0</v>
          </cell>
          <cell r="N47">
            <v>718400</v>
          </cell>
          <cell r="O47">
            <v>0</v>
          </cell>
          <cell r="P47">
            <v>0</v>
          </cell>
          <cell r="Q47">
            <v>0</v>
          </cell>
          <cell r="R47">
            <v>0</v>
          </cell>
          <cell r="S47">
            <v>0</v>
          </cell>
          <cell r="T47">
            <v>718400</v>
          </cell>
          <cell r="U47">
            <v>0</v>
          </cell>
          <cell r="V47">
            <v>0</v>
          </cell>
        </row>
        <row r="51">
          <cell r="E51">
            <v>517868</v>
          </cell>
          <cell r="F51"/>
          <cell r="G51"/>
          <cell r="H51">
            <v>642200</v>
          </cell>
          <cell r="I51"/>
          <cell r="J51"/>
          <cell r="K51">
            <v>719660</v>
          </cell>
          <cell r="L51"/>
          <cell r="M51"/>
          <cell r="N51">
            <v>719660</v>
          </cell>
          <cell r="O51"/>
          <cell r="P51"/>
          <cell r="Q51"/>
          <cell r="R51"/>
          <cell r="S51"/>
          <cell r="T51">
            <v>719660</v>
          </cell>
          <cell r="U51">
            <v>0</v>
          </cell>
          <cell r="V51">
            <v>0</v>
          </cell>
        </row>
        <row r="52">
          <cell r="E52">
            <v>231400</v>
          </cell>
          <cell r="F52"/>
          <cell r="G52"/>
          <cell r="H52">
            <v>262720</v>
          </cell>
          <cell r="I52">
            <v>10451.530000000001</v>
          </cell>
          <cell r="J52"/>
          <cell r="K52">
            <v>302040</v>
          </cell>
          <cell r="L52"/>
          <cell r="M52"/>
          <cell r="N52">
            <v>302040</v>
          </cell>
          <cell r="O52"/>
          <cell r="P52"/>
          <cell r="Q52"/>
          <cell r="R52"/>
          <cell r="S52"/>
          <cell r="T52">
            <v>302040</v>
          </cell>
          <cell r="U52">
            <v>0</v>
          </cell>
          <cell r="V52">
            <v>0</v>
          </cell>
        </row>
        <row r="53">
          <cell r="E53">
            <v>344600.22</v>
          </cell>
          <cell r="F53">
            <v>0</v>
          </cell>
          <cell r="G53">
            <v>0</v>
          </cell>
          <cell r="H53">
            <v>589702.65</v>
          </cell>
          <cell r="I53">
            <v>0</v>
          </cell>
          <cell r="J53">
            <v>0</v>
          </cell>
          <cell r="K53">
            <v>477540</v>
          </cell>
          <cell r="L53">
            <v>0</v>
          </cell>
          <cell r="M53">
            <v>0</v>
          </cell>
          <cell r="N53">
            <v>482434</v>
          </cell>
          <cell r="O53">
            <v>0</v>
          </cell>
          <cell r="P53">
            <v>0</v>
          </cell>
          <cell r="Q53">
            <v>163092</v>
          </cell>
          <cell r="R53">
            <v>0</v>
          </cell>
          <cell r="S53">
            <v>0</v>
          </cell>
          <cell r="T53">
            <v>645526</v>
          </cell>
          <cell r="U53">
            <v>0</v>
          </cell>
          <cell r="V53">
            <v>0</v>
          </cell>
        </row>
        <row r="73">
          <cell r="E73">
            <v>621982.06000000006</v>
          </cell>
          <cell r="F73">
            <v>25306.79</v>
          </cell>
          <cell r="G73"/>
          <cell r="H73">
            <v>776703.63</v>
          </cell>
          <cell r="I73">
            <v>16345.8</v>
          </cell>
          <cell r="J73"/>
          <cell r="K73">
            <v>815700</v>
          </cell>
          <cell r="L73"/>
          <cell r="M73"/>
          <cell r="N73">
            <v>801247</v>
          </cell>
          <cell r="O73">
            <v>14453</v>
          </cell>
          <cell r="P73"/>
          <cell r="Q73">
            <v>61115</v>
          </cell>
          <cell r="R73">
            <v>7000</v>
          </cell>
          <cell r="S73"/>
          <cell r="T73">
            <v>862362</v>
          </cell>
          <cell r="U73">
            <v>21453</v>
          </cell>
          <cell r="V73">
            <v>0</v>
          </cell>
        </row>
        <row r="74">
          <cell r="E74">
            <v>161788.28999999998</v>
          </cell>
          <cell r="F74">
            <v>0</v>
          </cell>
          <cell r="G74">
            <v>0</v>
          </cell>
          <cell r="H74">
            <v>240504.3</v>
          </cell>
          <cell r="I74">
            <v>0</v>
          </cell>
          <cell r="J74">
            <v>0</v>
          </cell>
          <cell r="K74">
            <v>174920</v>
          </cell>
          <cell r="L74">
            <v>20000</v>
          </cell>
          <cell r="M74">
            <v>0</v>
          </cell>
          <cell r="N74">
            <v>170026</v>
          </cell>
          <cell r="O74">
            <v>20000</v>
          </cell>
          <cell r="P74">
            <v>0</v>
          </cell>
          <cell r="Q74">
            <v>157765</v>
          </cell>
          <cell r="R74">
            <v>-11000</v>
          </cell>
          <cell r="S74">
            <v>0</v>
          </cell>
          <cell r="T74">
            <v>327791</v>
          </cell>
          <cell r="U74">
            <v>9000</v>
          </cell>
          <cell r="V74">
            <v>0</v>
          </cell>
        </row>
        <row r="81">
          <cell r="E81">
            <v>388913.99</v>
          </cell>
          <cell r="F81"/>
          <cell r="G81"/>
          <cell r="H81">
            <v>520079.17000000004</v>
          </cell>
          <cell r="I81"/>
          <cell r="J81"/>
          <cell r="K81">
            <v>744800</v>
          </cell>
          <cell r="L81"/>
          <cell r="M81"/>
          <cell r="N81">
            <v>744800</v>
          </cell>
          <cell r="O81"/>
          <cell r="P81"/>
          <cell r="Q81">
            <v>317658</v>
          </cell>
          <cell r="R81"/>
          <cell r="S81"/>
          <cell r="T81">
            <v>1062458</v>
          </cell>
          <cell r="U81">
            <v>0</v>
          </cell>
          <cell r="V81">
            <v>0</v>
          </cell>
        </row>
      </sheetData>
      <sheetData sheetId="9">
        <row r="4">
          <cell r="E4">
            <v>1332.76</v>
          </cell>
          <cell r="F4">
            <v>0</v>
          </cell>
          <cell r="G4">
            <v>0</v>
          </cell>
          <cell r="H4">
            <v>6980.7199999999993</v>
          </cell>
          <cell r="I4">
            <v>0</v>
          </cell>
          <cell r="J4">
            <v>0</v>
          </cell>
          <cell r="K4">
            <v>4000</v>
          </cell>
          <cell r="L4">
            <v>0</v>
          </cell>
          <cell r="M4">
            <v>0</v>
          </cell>
          <cell r="N4">
            <v>4000</v>
          </cell>
          <cell r="O4">
            <v>0</v>
          </cell>
          <cell r="P4">
            <v>0</v>
          </cell>
          <cell r="Q4">
            <v>0</v>
          </cell>
          <cell r="R4">
            <v>0</v>
          </cell>
          <cell r="S4">
            <v>0</v>
          </cell>
          <cell r="T4">
            <v>4000</v>
          </cell>
          <cell r="U4">
            <v>0</v>
          </cell>
          <cell r="V4">
            <v>0</v>
          </cell>
        </row>
        <row r="12">
          <cell r="E12">
            <v>21972.060000000005</v>
          </cell>
          <cell r="F12">
            <v>0</v>
          </cell>
          <cell r="G12">
            <v>0</v>
          </cell>
          <cell r="H12">
            <v>55103.93</v>
          </cell>
          <cell r="I12">
            <v>0</v>
          </cell>
          <cell r="J12">
            <v>0</v>
          </cell>
          <cell r="K12">
            <v>73800</v>
          </cell>
          <cell r="L12">
            <v>0</v>
          </cell>
          <cell r="M12">
            <v>0</v>
          </cell>
          <cell r="N12">
            <v>73800</v>
          </cell>
          <cell r="O12">
            <v>0</v>
          </cell>
          <cell r="P12">
            <v>0</v>
          </cell>
          <cell r="Q12">
            <v>0</v>
          </cell>
          <cell r="R12">
            <v>0</v>
          </cell>
          <cell r="S12">
            <v>0</v>
          </cell>
          <cell r="T12">
            <v>73800</v>
          </cell>
          <cell r="U12">
            <v>0</v>
          </cell>
          <cell r="V12">
            <v>0</v>
          </cell>
        </row>
        <row r="30">
          <cell r="E30">
            <v>51888.53</v>
          </cell>
          <cell r="F30">
            <v>0</v>
          </cell>
          <cell r="G30">
            <v>0</v>
          </cell>
          <cell r="H30">
            <v>68319.69</v>
          </cell>
          <cell r="I30">
            <v>0</v>
          </cell>
          <cell r="J30">
            <v>0</v>
          </cell>
          <cell r="K30">
            <v>80700</v>
          </cell>
          <cell r="L30">
            <v>0</v>
          </cell>
          <cell r="M30">
            <v>0</v>
          </cell>
          <cell r="N30">
            <v>80700</v>
          </cell>
          <cell r="O30">
            <v>0</v>
          </cell>
          <cell r="P30">
            <v>0</v>
          </cell>
          <cell r="Q30">
            <v>2000</v>
          </cell>
          <cell r="R30">
            <v>0</v>
          </cell>
          <cell r="S30">
            <v>0</v>
          </cell>
          <cell r="T30">
            <v>82700</v>
          </cell>
          <cell r="U30">
            <v>0</v>
          </cell>
          <cell r="V30">
            <v>0</v>
          </cell>
        </row>
        <row r="48">
          <cell r="E48">
            <v>17309.63</v>
          </cell>
          <cell r="F48">
            <v>16983.05</v>
          </cell>
          <cell r="G48">
            <v>0</v>
          </cell>
          <cell r="H48">
            <v>19827.400000000001</v>
          </cell>
          <cell r="I48">
            <v>0</v>
          </cell>
          <cell r="J48">
            <v>0</v>
          </cell>
          <cell r="K48">
            <v>30300</v>
          </cell>
          <cell r="L48">
            <v>0</v>
          </cell>
          <cell r="M48">
            <v>0</v>
          </cell>
          <cell r="N48">
            <v>35300</v>
          </cell>
          <cell r="O48">
            <v>0</v>
          </cell>
          <cell r="P48">
            <v>0</v>
          </cell>
          <cell r="Q48">
            <v>4000</v>
          </cell>
          <cell r="R48">
            <v>0</v>
          </cell>
          <cell r="S48">
            <v>0</v>
          </cell>
          <cell r="T48">
            <v>39300</v>
          </cell>
          <cell r="U48">
            <v>0</v>
          </cell>
          <cell r="V48">
            <v>0</v>
          </cell>
        </row>
        <row r="58">
          <cell r="E58">
            <v>159955.13999999998</v>
          </cell>
          <cell r="F58">
            <v>3200</v>
          </cell>
          <cell r="G58">
            <v>0</v>
          </cell>
          <cell r="H58">
            <v>181088.82</v>
          </cell>
          <cell r="I58">
            <v>0</v>
          </cell>
          <cell r="J58">
            <v>0</v>
          </cell>
          <cell r="K58">
            <v>208900</v>
          </cell>
          <cell r="L58">
            <v>0</v>
          </cell>
          <cell r="M58">
            <v>0</v>
          </cell>
          <cell r="N58">
            <v>208900</v>
          </cell>
          <cell r="O58">
            <v>0</v>
          </cell>
          <cell r="P58">
            <v>0</v>
          </cell>
          <cell r="Q58">
            <v>8000</v>
          </cell>
          <cell r="R58">
            <v>0</v>
          </cell>
          <cell r="S58">
            <v>0</v>
          </cell>
          <cell r="T58">
            <v>216900</v>
          </cell>
          <cell r="U58">
            <v>0</v>
          </cell>
          <cell r="V58">
            <v>0</v>
          </cell>
        </row>
        <row r="79">
          <cell r="E79">
            <v>7935.4</v>
          </cell>
          <cell r="F79">
            <v>0</v>
          </cell>
          <cell r="G79">
            <v>0</v>
          </cell>
          <cell r="H79">
            <v>8662.77</v>
          </cell>
          <cell r="I79">
            <v>0</v>
          </cell>
          <cell r="J79">
            <v>0</v>
          </cell>
          <cell r="K79">
            <v>11800</v>
          </cell>
          <cell r="L79">
            <v>0</v>
          </cell>
          <cell r="M79">
            <v>0</v>
          </cell>
          <cell r="N79">
            <v>11800</v>
          </cell>
          <cell r="O79">
            <v>0</v>
          </cell>
          <cell r="P79">
            <v>0</v>
          </cell>
          <cell r="Q79">
            <v>0</v>
          </cell>
          <cell r="R79">
            <v>0</v>
          </cell>
          <cell r="S79">
            <v>0</v>
          </cell>
          <cell r="T79">
            <v>11800</v>
          </cell>
          <cell r="U79">
            <v>0</v>
          </cell>
          <cell r="V79">
            <v>0</v>
          </cell>
        </row>
        <row r="87">
          <cell r="E87">
            <v>239.93</v>
          </cell>
          <cell r="F87">
            <v>0</v>
          </cell>
          <cell r="G87">
            <v>0</v>
          </cell>
          <cell r="H87">
            <v>5339.76</v>
          </cell>
          <cell r="I87">
            <v>1434942.61</v>
          </cell>
          <cell r="J87">
            <v>0</v>
          </cell>
          <cell r="K87">
            <v>1100</v>
          </cell>
          <cell r="L87">
            <v>85000</v>
          </cell>
          <cell r="M87">
            <v>0</v>
          </cell>
          <cell r="N87">
            <v>1100</v>
          </cell>
          <cell r="O87">
            <v>85000</v>
          </cell>
          <cell r="P87">
            <v>0</v>
          </cell>
          <cell r="Q87">
            <v>1000</v>
          </cell>
          <cell r="R87">
            <v>5</v>
          </cell>
          <cell r="S87">
            <v>0</v>
          </cell>
          <cell r="T87">
            <v>2100</v>
          </cell>
          <cell r="U87">
            <v>85005</v>
          </cell>
          <cell r="V87">
            <v>0</v>
          </cell>
        </row>
        <row r="93">
          <cell r="E93">
            <v>14295.45</v>
          </cell>
          <cell r="F93">
            <v>0</v>
          </cell>
          <cell r="G93">
            <v>0</v>
          </cell>
          <cell r="H93">
            <v>10324.74</v>
          </cell>
          <cell r="I93">
            <v>0</v>
          </cell>
          <cell r="J93">
            <v>0</v>
          </cell>
          <cell r="K93">
            <v>14000</v>
          </cell>
          <cell r="L93">
            <v>0</v>
          </cell>
          <cell r="M93">
            <v>0</v>
          </cell>
          <cell r="N93">
            <v>12000</v>
          </cell>
          <cell r="O93">
            <v>0</v>
          </cell>
          <cell r="P93">
            <v>0</v>
          </cell>
          <cell r="Q93">
            <v>1000</v>
          </cell>
          <cell r="R93">
            <v>0</v>
          </cell>
          <cell r="S93">
            <v>0</v>
          </cell>
          <cell r="T93">
            <v>13000</v>
          </cell>
          <cell r="U93">
            <v>0</v>
          </cell>
          <cell r="V93">
            <v>0</v>
          </cell>
        </row>
        <row r="101">
          <cell r="E101">
            <v>8934.4699999999993</v>
          </cell>
          <cell r="F101">
            <v>0</v>
          </cell>
          <cell r="G101">
            <v>0</v>
          </cell>
          <cell r="H101">
            <v>10000</v>
          </cell>
          <cell r="I101">
            <v>0</v>
          </cell>
          <cell r="J101">
            <v>0</v>
          </cell>
          <cell r="K101">
            <v>10000</v>
          </cell>
          <cell r="L101">
            <v>0</v>
          </cell>
          <cell r="M101">
            <v>0</v>
          </cell>
          <cell r="N101">
            <v>10000</v>
          </cell>
          <cell r="O101">
            <v>0</v>
          </cell>
          <cell r="P101">
            <v>0</v>
          </cell>
          <cell r="Q101">
            <v>0</v>
          </cell>
          <cell r="R101">
            <v>0</v>
          </cell>
          <cell r="S101">
            <v>0</v>
          </cell>
          <cell r="T101">
            <v>10000</v>
          </cell>
          <cell r="U101">
            <v>0</v>
          </cell>
          <cell r="V101">
            <v>0</v>
          </cell>
        </row>
      </sheetData>
      <sheetData sheetId="10">
        <row r="4">
          <cell r="E4">
            <v>12577.740000000002</v>
          </cell>
          <cell r="F4">
            <v>0</v>
          </cell>
          <cell r="G4">
            <v>0</v>
          </cell>
          <cell r="H4">
            <v>18860.29</v>
          </cell>
          <cell r="I4">
            <v>0</v>
          </cell>
          <cell r="J4">
            <v>0</v>
          </cell>
          <cell r="K4">
            <v>15320</v>
          </cell>
          <cell r="L4">
            <v>0</v>
          </cell>
          <cell r="M4">
            <v>0</v>
          </cell>
          <cell r="N4">
            <v>15320</v>
          </cell>
          <cell r="O4">
            <v>0</v>
          </cell>
          <cell r="P4">
            <v>0</v>
          </cell>
          <cell r="Q4">
            <v>510</v>
          </cell>
          <cell r="R4">
            <v>0</v>
          </cell>
          <cell r="S4">
            <v>0</v>
          </cell>
          <cell r="T4">
            <v>15830</v>
          </cell>
          <cell r="U4">
            <v>0</v>
          </cell>
          <cell r="V4">
            <v>0</v>
          </cell>
        </row>
        <row r="20">
          <cell r="E20">
            <v>163237.68</v>
          </cell>
          <cell r="F20">
            <v>0</v>
          </cell>
          <cell r="G20">
            <v>0</v>
          </cell>
          <cell r="H20">
            <v>170366.39</v>
          </cell>
          <cell r="I20">
            <v>0</v>
          </cell>
          <cell r="J20">
            <v>0</v>
          </cell>
          <cell r="K20">
            <v>182500</v>
          </cell>
          <cell r="L20">
            <v>0</v>
          </cell>
          <cell r="M20">
            <v>0</v>
          </cell>
          <cell r="N20">
            <v>182500</v>
          </cell>
          <cell r="O20">
            <v>0</v>
          </cell>
          <cell r="P20">
            <v>0</v>
          </cell>
          <cell r="Q20">
            <v>17000</v>
          </cell>
          <cell r="R20">
            <v>0</v>
          </cell>
          <cell r="S20">
            <v>0</v>
          </cell>
          <cell r="T20">
            <v>199500</v>
          </cell>
          <cell r="U20">
            <v>0</v>
          </cell>
          <cell r="V20">
            <v>0</v>
          </cell>
        </row>
        <row r="27">
          <cell r="E27">
            <v>4675.01</v>
          </cell>
          <cell r="F27">
            <v>0</v>
          </cell>
          <cell r="G27">
            <v>0</v>
          </cell>
          <cell r="H27">
            <v>1547.4299999999998</v>
          </cell>
          <cell r="I27">
            <v>0</v>
          </cell>
          <cell r="J27">
            <v>0</v>
          </cell>
          <cell r="K27">
            <v>4250</v>
          </cell>
          <cell r="L27">
            <v>0</v>
          </cell>
          <cell r="M27">
            <v>0</v>
          </cell>
          <cell r="N27">
            <v>3750</v>
          </cell>
          <cell r="O27">
            <v>0</v>
          </cell>
          <cell r="P27">
            <v>0</v>
          </cell>
          <cell r="Q27">
            <v>0</v>
          </cell>
          <cell r="R27">
            <v>0</v>
          </cell>
          <cell r="S27">
            <v>0</v>
          </cell>
          <cell r="T27">
            <v>3750</v>
          </cell>
          <cell r="U27">
            <v>0</v>
          </cell>
          <cell r="V27">
            <v>0</v>
          </cell>
        </row>
        <row r="37">
          <cell r="E37">
            <v>445643.5199999999</v>
          </cell>
          <cell r="F37">
            <v>1743553.29</v>
          </cell>
          <cell r="G37">
            <v>4523.71</v>
          </cell>
          <cell r="H37">
            <v>732346.27999999991</v>
          </cell>
          <cell r="I37">
            <v>1210007.68</v>
          </cell>
          <cell r="J37">
            <v>3112.57</v>
          </cell>
          <cell r="K37">
            <v>749435</v>
          </cell>
          <cell r="L37">
            <v>494000</v>
          </cell>
          <cell r="M37">
            <v>0</v>
          </cell>
          <cell r="N37">
            <v>749606</v>
          </cell>
          <cell r="O37">
            <v>494000</v>
          </cell>
          <cell r="P37">
            <v>0</v>
          </cell>
          <cell r="Q37">
            <v>25800</v>
          </cell>
          <cell r="R37">
            <v>0</v>
          </cell>
          <cell r="S37">
            <v>0</v>
          </cell>
          <cell r="T37">
            <v>775406</v>
          </cell>
          <cell r="U37">
            <v>494000</v>
          </cell>
          <cell r="V37">
            <v>0</v>
          </cell>
        </row>
        <row r="122">
          <cell r="E122">
            <v>7632.46</v>
          </cell>
          <cell r="F122">
            <v>0</v>
          </cell>
          <cell r="G122">
            <v>0</v>
          </cell>
          <cell r="H122">
            <v>8746.14</v>
          </cell>
          <cell r="I122">
            <v>0</v>
          </cell>
          <cell r="J122">
            <v>0</v>
          </cell>
          <cell r="K122">
            <v>14820</v>
          </cell>
          <cell r="L122">
            <v>0</v>
          </cell>
          <cell r="M122">
            <v>0</v>
          </cell>
          <cell r="N122">
            <v>15149</v>
          </cell>
          <cell r="O122">
            <v>0</v>
          </cell>
          <cell r="P122">
            <v>0</v>
          </cell>
          <cell r="Q122">
            <v>2000</v>
          </cell>
          <cell r="R122">
            <v>0</v>
          </cell>
          <cell r="S122">
            <v>0</v>
          </cell>
          <cell r="T122">
            <v>17149</v>
          </cell>
          <cell r="U122">
            <v>0</v>
          </cell>
          <cell r="V122">
            <v>0</v>
          </cell>
        </row>
        <row r="135">
          <cell r="E135">
            <v>8715.4599999999991</v>
          </cell>
          <cell r="F135">
            <v>16856.68</v>
          </cell>
          <cell r="G135">
            <v>0</v>
          </cell>
          <cell r="H135">
            <v>1050</v>
          </cell>
          <cell r="I135">
            <v>0</v>
          </cell>
          <cell r="J135">
            <v>0</v>
          </cell>
          <cell r="K135">
            <v>0</v>
          </cell>
          <cell r="L135">
            <v>0</v>
          </cell>
          <cell r="M135">
            <v>0</v>
          </cell>
          <cell r="N135">
            <v>100</v>
          </cell>
          <cell r="O135">
            <v>0</v>
          </cell>
          <cell r="P135">
            <v>0</v>
          </cell>
          <cell r="Q135">
            <v>0</v>
          </cell>
          <cell r="R135">
            <v>0</v>
          </cell>
          <cell r="S135">
            <v>0</v>
          </cell>
          <cell r="T135">
            <v>100</v>
          </cell>
          <cell r="U135">
            <v>0</v>
          </cell>
          <cell r="V135">
            <v>0</v>
          </cell>
        </row>
        <row r="138">
          <cell r="E138">
            <v>7754</v>
          </cell>
          <cell r="F138">
            <v>0</v>
          </cell>
          <cell r="G138">
            <v>0</v>
          </cell>
          <cell r="H138">
            <v>9984.25</v>
          </cell>
          <cell r="I138">
            <v>0</v>
          </cell>
          <cell r="J138">
            <v>0</v>
          </cell>
          <cell r="K138">
            <v>10000</v>
          </cell>
          <cell r="L138">
            <v>0</v>
          </cell>
          <cell r="M138">
            <v>0</v>
          </cell>
          <cell r="N138">
            <v>10000</v>
          </cell>
          <cell r="O138">
            <v>0</v>
          </cell>
          <cell r="P138">
            <v>0</v>
          </cell>
          <cell r="Q138">
            <v>0</v>
          </cell>
          <cell r="R138">
            <v>0</v>
          </cell>
          <cell r="S138">
            <v>0</v>
          </cell>
          <cell r="T138">
            <v>10000</v>
          </cell>
          <cell r="U138">
            <v>0</v>
          </cell>
          <cell r="V138">
            <v>0</v>
          </cell>
        </row>
      </sheetData>
      <sheetData sheetId="11">
        <row r="5">
          <cell r="E5">
            <v>362443.59</v>
          </cell>
          <cell r="F5">
            <v>0</v>
          </cell>
          <cell r="G5">
            <v>0</v>
          </cell>
          <cell r="H5">
            <v>325825.46000000002</v>
          </cell>
          <cell r="I5">
            <v>10808.14</v>
          </cell>
          <cell r="J5">
            <v>0</v>
          </cell>
          <cell r="K5">
            <v>363000</v>
          </cell>
          <cell r="L5">
            <v>905000</v>
          </cell>
          <cell r="M5">
            <v>0</v>
          </cell>
          <cell r="N5">
            <v>363000</v>
          </cell>
          <cell r="O5">
            <v>905000</v>
          </cell>
          <cell r="P5">
            <v>0</v>
          </cell>
          <cell r="Q5">
            <v>39610</v>
          </cell>
          <cell r="R5">
            <v>6660</v>
          </cell>
          <cell r="S5">
            <v>0</v>
          </cell>
          <cell r="T5">
            <v>402610</v>
          </cell>
          <cell r="U5">
            <v>911660</v>
          </cell>
          <cell r="V5">
            <v>0</v>
          </cell>
        </row>
        <row r="22">
          <cell r="E22">
            <v>800</v>
          </cell>
          <cell r="F22">
            <v>0</v>
          </cell>
          <cell r="G22">
            <v>0</v>
          </cell>
          <cell r="H22">
            <v>5989.1</v>
          </cell>
          <cell r="I22">
            <v>0</v>
          </cell>
          <cell r="J22">
            <v>0</v>
          </cell>
          <cell r="K22">
            <v>5300</v>
          </cell>
          <cell r="L22">
            <v>0</v>
          </cell>
          <cell r="M22">
            <v>0</v>
          </cell>
          <cell r="N22">
            <v>6100</v>
          </cell>
          <cell r="O22">
            <v>0</v>
          </cell>
          <cell r="P22">
            <v>0</v>
          </cell>
          <cell r="Q22">
            <v>4000</v>
          </cell>
          <cell r="R22">
            <v>0</v>
          </cell>
          <cell r="S22">
            <v>0</v>
          </cell>
          <cell r="T22">
            <v>10100</v>
          </cell>
          <cell r="U22">
            <v>0</v>
          </cell>
          <cell r="V22">
            <v>0</v>
          </cell>
        </row>
        <row r="24">
          <cell r="E24">
            <v>833.13</v>
          </cell>
          <cell r="F24">
            <v>0</v>
          </cell>
          <cell r="G24">
            <v>0</v>
          </cell>
          <cell r="H24">
            <v>26.35</v>
          </cell>
          <cell r="I24">
            <v>0</v>
          </cell>
          <cell r="J24">
            <v>0</v>
          </cell>
          <cell r="K24">
            <v>500</v>
          </cell>
          <cell r="L24">
            <v>0</v>
          </cell>
          <cell r="M24">
            <v>0</v>
          </cell>
          <cell r="N24">
            <v>500</v>
          </cell>
          <cell r="O24">
            <v>0</v>
          </cell>
          <cell r="P24">
            <v>0</v>
          </cell>
          <cell r="Q24">
            <v>0</v>
          </cell>
          <cell r="R24">
            <v>0</v>
          </cell>
          <cell r="S24">
            <v>0</v>
          </cell>
          <cell r="T24">
            <v>500</v>
          </cell>
          <cell r="U24">
            <v>0</v>
          </cell>
          <cell r="V24">
            <v>0</v>
          </cell>
        </row>
        <row r="41">
          <cell r="E41">
            <v>496.8</v>
          </cell>
          <cell r="F41">
            <v>0</v>
          </cell>
          <cell r="G41">
            <v>0</v>
          </cell>
          <cell r="H41">
            <v>903.6</v>
          </cell>
          <cell r="I41">
            <v>0</v>
          </cell>
          <cell r="J41">
            <v>0</v>
          </cell>
          <cell r="K41">
            <v>1000</v>
          </cell>
          <cell r="L41">
            <v>0</v>
          </cell>
          <cell r="M41">
            <v>0</v>
          </cell>
          <cell r="N41">
            <v>3000</v>
          </cell>
          <cell r="O41">
            <v>0</v>
          </cell>
          <cell r="P41">
            <v>0</v>
          </cell>
          <cell r="Q41">
            <v>0</v>
          </cell>
          <cell r="R41">
            <v>0</v>
          </cell>
          <cell r="S41">
            <v>0</v>
          </cell>
          <cell r="T41">
            <v>3000</v>
          </cell>
          <cell r="U41">
            <v>0</v>
          </cell>
          <cell r="V41">
            <v>0</v>
          </cell>
        </row>
        <row r="45">
          <cell r="E45">
            <v>1105.8</v>
          </cell>
          <cell r="F45">
            <v>0</v>
          </cell>
          <cell r="G45">
            <v>0</v>
          </cell>
          <cell r="H45">
            <v>978</v>
          </cell>
          <cell r="I45">
            <v>0</v>
          </cell>
          <cell r="J45">
            <v>0</v>
          </cell>
          <cell r="K45">
            <v>3110</v>
          </cell>
          <cell r="L45">
            <v>0</v>
          </cell>
          <cell r="M45">
            <v>0</v>
          </cell>
          <cell r="N45">
            <v>3110</v>
          </cell>
          <cell r="O45">
            <v>0</v>
          </cell>
          <cell r="P45">
            <v>0</v>
          </cell>
          <cell r="Q45">
            <v>0</v>
          </cell>
          <cell r="R45">
            <v>0</v>
          </cell>
          <cell r="S45">
            <v>0</v>
          </cell>
          <cell r="T45">
            <v>3110</v>
          </cell>
          <cell r="U45">
            <v>0</v>
          </cell>
          <cell r="V45">
            <v>0</v>
          </cell>
        </row>
        <row r="48">
          <cell r="E48">
            <v>22395.17</v>
          </cell>
          <cell r="F48">
            <v>12117.13</v>
          </cell>
          <cell r="G48">
            <v>0</v>
          </cell>
          <cell r="H48">
            <v>16520.400000000001</v>
          </cell>
          <cell r="I48">
            <v>0</v>
          </cell>
          <cell r="J48">
            <v>0</v>
          </cell>
          <cell r="K48">
            <v>20250</v>
          </cell>
          <cell r="L48">
            <v>66500</v>
          </cell>
          <cell r="M48">
            <v>0</v>
          </cell>
          <cell r="N48">
            <v>20250</v>
          </cell>
          <cell r="O48">
            <v>66500</v>
          </cell>
          <cell r="P48">
            <v>0</v>
          </cell>
          <cell r="Q48">
            <v>3500</v>
          </cell>
          <cell r="R48">
            <v>4500</v>
          </cell>
          <cell r="S48">
            <v>0</v>
          </cell>
          <cell r="T48">
            <v>23750</v>
          </cell>
          <cell r="U48">
            <v>71000</v>
          </cell>
          <cell r="V48">
            <v>0</v>
          </cell>
        </row>
        <row r="68">
          <cell r="E68">
            <v>485.26</v>
          </cell>
          <cell r="F68">
            <v>0</v>
          </cell>
          <cell r="G68">
            <v>0</v>
          </cell>
          <cell r="H68">
            <v>481.65</v>
          </cell>
          <cell r="I68">
            <v>0</v>
          </cell>
          <cell r="J68">
            <v>0</v>
          </cell>
          <cell r="K68">
            <v>500</v>
          </cell>
          <cell r="L68">
            <v>0</v>
          </cell>
          <cell r="M68">
            <v>0</v>
          </cell>
          <cell r="N68">
            <v>500</v>
          </cell>
          <cell r="O68">
            <v>0</v>
          </cell>
          <cell r="P68">
            <v>0</v>
          </cell>
          <cell r="Q68">
            <v>0</v>
          </cell>
          <cell r="R68">
            <v>0</v>
          </cell>
          <cell r="S68">
            <v>0</v>
          </cell>
          <cell r="T68">
            <v>500</v>
          </cell>
          <cell r="U68">
            <v>0</v>
          </cell>
          <cell r="V68">
            <v>0</v>
          </cell>
        </row>
        <row r="70">
          <cell r="E70">
            <v>29289.4</v>
          </cell>
          <cell r="F70">
            <v>0</v>
          </cell>
          <cell r="G70">
            <v>0</v>
          </cell>
          <cell r="H70">
            <v>31719.87</v>
          </cell>
          <cell r="I70">
            <v>0</v>
          </cell>
          <cell r="J70">
            <v>0</v>
          </cell>
          <cell r="K70">
            <v>34000</v>
          </cell>
          <cell r="L70">
            <v>0</v>
          </cell>
          <cell r="M70">
            <v>0</v>
          </cell>
          <cell r="N70">
            <v>34000</v>
          </cell>
          <cell r="O70">
            <v>0</v>
          </cell>
          <cell r="P70">
            <v>0</v>
          </cell>
          <cell r="Q70">
            <v>0</v>
          </cell>
          <cell r="R70">
            <v>0</v>
          </cell>
          <cell r="S70">
            <v>0</v>
          </cell>
          <cell r="T70">
            <v>34000</v>
          </cell>
          <cell r="U70">
            <v>0</v>
          </cell>
          <cell r="V70">
            <v>0</v>
          </cell>
        </row>
        <row r="74">
          <cell r="E74">
            <v>34373.660000000003</v>
          </cell>
          <cell r="F74">
            <v>35242.79</v>
          </cell>
          <cell r="G74">
            <v>0</v>
          </cell>
          <cell r="H74">
            <v>24889.23</v>
          </cell>
          <cell r="I74">
            <v>19423.150000000001</v>
          </cell>
          <cell r="J74">
            <v>0</v>
          </cell>
          <cell r="K74">
            <v>38000</v>
          </cell>
          <cell r="L74">
            <v>0</v>
          </cell>
          <cell r="M74">
            <v>0</v>
          </cell>
          <cell r="N74">
            <v>38000</v>
          </cell>
          <cell r="O74">
            <v>0</v>
          </cell>
          <cell r="P74">
            <v>0</v>
          </cell>
          <cell r="Q74">
            <v>0</v>
          </cell>
          <cell r="R74">
            <v>0</v>
          </cell>
          <cell r="S74">
            <v>0</v>
          </cell>
          <cell r="T74">
            <v>38000</v>
          </cell>
          <cell r="U74">
            <v>0</v>
          </cell>
          <cell r="V74">
            <v>0</v>
          </cell>
        </row>
        <row r="99">
          <cell r="E99"/>
          <cell r="F99"/>
          <cell r="G99"/>
        </row>
        <row r="100">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row>
      </sheetData>
      <sheetData sheetId="12">
        <row r="5">
          <cell r="E5">
            <v>35850.92</v>
          </cell>
          <cell r="F5">
            <v>0</v>
          </cell>
          <cell r="G5">
            <v>0</v>
          </cell>
          <cell r="H5">
            <v>32600</v>
          </cell>
          <cell r="I5">
            <v>0</v>
          </cell>
          <cell r="J5">
            <v>0</v>
          </cell>
          <cell r="K5">
            <v>26540</v>
          </cell>
          <cell r="L5">
            <v>0</v>
          </cell>
          <cell r="M5">
            <v>0</v>
          </cell>
          <cell r="N5">
            <v>26540</v>
          </cell>
          <cell r="O5">
            <v>0</v>
          </cell>
          <cell r="P5">
            <v>0</v>
          </cell>
          <cell r="Q5">
            <v>-490</v>
          </cell>
          <cell r="R5">
            <v>0</v>
          </cell>
          <cell r="S5">
            <v>0</v>
          </cell>
          <cell r="T5">
            <v>26050</v>
          </cell>
          <cell r="U5">
            <v>0</v>
          </cell>
          <cell r="V5">
            <v>0</v>
          </cell>
        </row>
        <row r="8">
          <cell r="E8"/>
          <cell r="F8"/>
          <cell r="G8"/>
          <cell r="H8"/>
          <cell r="I8"/>
          <cell r="J8"/>
          <cell r="K8"/>
          <cell r="L8"/>
          <cell r="M8"/>
          <cell r="N8"/>
          <cell r="O8"/>
          <cell r="P8"/>
          <cell r="Q8"/>
          <cell r="R8"/>
          <cell r="S8"/>
          <cell r="T8"/>
          <cell r="U8"/>
          <cell r="V8"/>
        </row>
        <row r="9">
          <cell r="E9">
            <v>5263.94</v>
          </cell>
          <cell r="F9">
            <v>0</v>
          </cell>
          <cell r="G9">
            <v>0</v>
          </cell>
          <cell r="H9">
            <v>5068.34</v>
          </cell>
          <cell r="I9">
            <v>0</v>
          </cell>
          <cell r="J9">
            <v>0</v>
          </cell>
          <cell r="K9">
            <v>9500</v>
          </cell>
          <cell r="L9">
            <v>0</v>
          </cell>
          <cell r="M9">
            <v>0</v>
          </cell>
          <cell r="N9">
            <v>9500</v>
          </cell>
          <cell r="O9">
            <v>0</v>
          </cell>
          <cell r="P9">
            <v>0</v>
          </cell>
          <cell r="Q9">
            <v>30</v>
          </cell>
          <cell r="R9">
            <v>0</v>
          </cell>
          <cell r="S9">
            <v>0</v>
          </cell>
          <cell r="T9">
            <v>9530</v>
          </cell>
          <cell r="U9">
            <v>0</v>
          </cell>
          <cell r="V9">
            <v>0</v>
          </cell>
        </row>
        <row r="17">
          <cell r="E17">
            <v>282850</v>
          </cell>
          <cell r="F17">
            <v>0</v>
          </cell>
          <cell r="G17">
            <v>0</v>
          </cell>
          <cell r="H17">
            <v>196630</v>
          </cell>
          <cell r="I17">
            <v>0</v>
          </cell>
          <cell r="J17">
            <v>0</v>
          </cell>
          <cell r="K17">
            <v>221930</v>
          </cell>
          <cell r="L17">
            <v>0</v>
          </cell>
          <cell r="M17">
            <v>0</v>
          </cell>
          <cell r="N17">
            <v>221930</v>
          </cell>
          <cell r="O17">
            <v>0</v>
          </cell>
          <cell r="P17">
            <v>0</v>
          </cell>
          <cell r="Q17">
            <v>44040</v>
          </cell>
          <cell r="R17">
            <v>11000</v>
          </cell>
          <cell r="S17">
            <v>0</v>
          </cell>
          <cell r="T17">
            <v>265970</v>
          </cell>
          <cell r="U17">
            <v>11000</v>
          </cell>
          <cell r="V17">
            <v>0</v>
          </cell>
        </row>
        <row r="21">
          <cell r="E21">
            <v>56000</v>
          </cell>
          <cell r="F21">
            <v>0</v>
          </cell>
          <cell r="G21">
            <v>0</v>
          </cell>
          <cell r="H21">
            <v>58300</v>
          </cell>
          <cell r="I21">
            <v>0</v>
          </cell>
          <cell r="J21">
            <v>0</v>
          </cell>
          <cell r="K21">
            <v>63340</v>
          </cell>
          <cell r="L21">
            <v>0</v>
          </cell>
          <cell r="M21">
            <v>0</v>
          </cell>
          <cell r="N21">
            <v>63340</v>
          </cell>
          <cell r="O21">
            <v>0</v>
          </cell>
          <cell r="P21">
            <v>0</v>
          </cell>
          <cell r="Q21">
            <v>-1510</v>
          </cell>
          <cell r="R21">
            <v>0</v>
          </cell>
          <cell r="S21">
            <v>0</v>
          </cell>
          <cell r="T21">
            <v>61830</v>
          </cell>
          <cell r="U21">
            <v>0</v>
          </cell>
          <cell r="V21">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6">
          <cell r="E26">
            <v>63515.03</v>
          </cell>
          <cell r="F26">
            <v>0</v>
          </cell>
          <cell r="G26">
            <v>0</v>
          </cell>
          <cell r="H26">
            <v>82144.39</v>
          </cell>
          <cell r="I26">
            <v>0</v>
          </cell>
          <cell r="J26">
            <v>0</v>
          </cell>
          <cell r="K26">
            <v>84630</v>
          </cell>
          <cell r="L26">
            <v>0</v>
          </cell>
          <cell r="M26">
            <v>0</v>
          </cell>
          <cell r="N26">
            <v>84630</v>
          </cell>
          <cell r="O26">
            <v>0</v>
          </cell>
          <cell r="P26">
            <v>0</v>
          </cell>
          <cell r="Q26">
            <v>-3980</v>
          </cell>
          <cell r="R26">
            <v>0</v>
          </cell>
          <cell r="S26">
            <v>0</v>
          </cell>
          <cell r="T26">
            <v>80650</v>
          </cell>
          <cell r="U26">
            <v>0</v>
          </cell>
          <cell r="V26">
            <v>0</v>
          </cell>
        </row>
        <row r="30">
          <cell r="E30">
            <v>38204</v>
          </cell>
          <cell r="F30">
            <v>3576</v>
          </cell>
          <cell r="G30">
            <v>0</v>
          </cell>
          <cell r="H30">
            <v>54310</v>
          </cell>
          <cell r="I30">
            <v>0</v>
          </cell>
          <cell r="J30">
            <v>0</v>
          </cell>
          <cell r="K30">
            <v>57400</v>
          </cell>
          <cell r="L30">
            <v>0</v>
          </cell>
          <cell r="M30">
            <v>0</v>
          </cell>
          <cell r="N30">
            <v>57400</v>
          </cell>
          <cell r="O30">
            <v>0</v>
          </cell>
          <cell r="P30">
            <v>0</v>
          </cell>
          <cell r="Q30">
            <v>530</v>
          </cell>
          <cell r="R30">
            <v>0</v>
          </cell>
          <cell r="S30">
            <v>0</v>
          </cell>
          <cell r="T30">
            <v>57930</v>
          </cell>
          <cell r="U30">
            <v>0</v>
          </cell>
          <cell r="V30">
            <v>0</v>
          </cell>
        </row>
        <row r="33">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row>
        <row r="35">
          <cell r="E35">
            <v>1072904.3399999999</v>
          </cell>
          <cell r="F35">
            <v>13800</v>
          </cell>
          <cell r="G35">
            <v>0</v>
          </cell>
          <cell r="H35">
            <v>1145685.6299999999</v>
          </cell>
          <cell r="I35">
            <v>0</v>
          </cell>
          <cell r="J35">
            <v>0</v>
          </cell>
          <cell r="K35">
            <v>1350000</v>
          </cell>
          <cell r="L35">
            <v>10000</v>
          </cell>
          <cell r="M35">
            <v>0</v>
          </cell>
          <cell r="N35">
            <v>1350000</v>
          </cell>
          <cell r="O35">
            <v>10000</v>
          </cell>
          <cell r="P35">
            <v>0</v>
          </cell>
          <cell r="Q35">
            <v>67045</v>
          </cell>
          <cell r="R35">
            <v>0</v>
          </cell>
          <cell r="S35">
            <v>0</v>
          </cell>
          <cell r="T35">
            <v>1417045</v>
          </cell>
          <cell r="U35">
            <v>10000</v>
          </cell>
          <cell r="V35">
            <v>0</v>
          </cell>
        </row>
        <row r="50">
          <cell r="E50">
            <v>194936</v>
          </cell>
          <cell r="F50">
            <v>0</v>
          </cell>
          <cell r="G50">
            <v>0</v>
          </cell>
          <cell r="H50">
            <v>228864</v>
          </cell>
          <cell r="I50">
            <v>0</v>
          </cell>
          <cell r="J50">
            <v>0</v>
          </cell>
          <cell r="K50">
            <v>247070</v>
          </cell>
          <cell r="L50">
            <v>0</v>
          </cell>
          <cell r="M50">
            <v>0</v>
          </cell>
          <cell r="N50">
            <v>247070</v>
          </cell>
          <cell r="O50">
            <v>0</v>
          </cell>
          <cell r="P50">
            <v>0</v>
          </cell>
          <cell r="Q50">
            <v>-21550</v>
          </cell>
          <cell r="R50">
            <v>0</v>
          </cell>
          <cell r="S50">
            <v>0</v>
          </cell>
          <cell r="T50">
            <v>225520</v>
          </cell>
          <cell r="U50">
            <v>0</v>
          </cell>
          <cell r="V50">
            <v>0</v>
          </cell>
        </row>
        <row r="55">
          <cell r="E55">
            <v>50738.36</v>
          </cell>
          <cell r="F55">
            <v>21157.74</v>
          </cell>
          <cell r="G55">
            <v>0</v>
          </cell>
          <cell r="H55">
            <v>54770</v>
          </cell>
          <cell r="I55">
            <v>0</v>
          </cell>
          <cell r="J55">
            <v>0</v>
          </cell>
          <cell r="K55">
            <v>58300</v>
          </cell>
          <cell r="L55">
            <v>0</v>
          </cell>
          <cell r="M55">
            <v>0</v>
          </cell>
          <cell r="N55">
            <v>58300</v>
          </cell>
          <cell r="O55">
            <v>16640</v>
          </cell>
          <cell r="P55">
            <v>0</v>
          </cell>
          <cell r="Q55">
            <v>-620</v>
          </cell>
          <cell r="R55">
            <v>0</v>
          </cell>
          <cell r="S55">
            <v>0</v>
          </cell>
          <cell r="T55">
            <v>57680</v>
          </cell>
          <cell r="U55">
            <v>16640</v>
          </cell>
          <cell r="V55">
            <v>0</v>
          </cell>
        </row>
        <row r="59">
          <cell r="E59">
            <v>5160</v>
          </cell>
          <cell r="F59">
            <v>0</v>
          </cell>
          <cell r="G59">
            <v>0</v>
          </cell>
          <cell r="H59">
            <v>11180</v>
          </cell>
          <cell r="I59">
            <v>0</v>
          </cell>
          <cell r="J59">
            <v>0</v>
          </cell>
          <cell r="K59">
            <v>38710</v>
          </cell>
          <cell r="L59">
            <v>0</v>
          </cell>
          <cell r="M59">
            <v>0</v>
          </cell>
          <cell r="N59">
            <v>38710</v>
          </cell>
          <cell r="O59">
            <v>0</v>
          </cell>
          <cell r="P59">
            <v>0</v>
          </cell>
          <cell r="Q59">
            <v>-14280</v>
          </cell>
          <cell r="R59">
            <v>0</v>
          </cell>
          <cell r="S59">
            <v>0</v>
          </cell>
          <cell r="T59">
            <v>24430</v>
          </cell>
          <cell r="U59">
            <v>0</v>
          </cell>
          <cell r="V59">
            <v>0</v>
          </cell>
        </row>
        <row r="62">
          <cell r="E62">
            <v>51155.23</v>
          </cell>
          <cell r="F62">
            <v>0</v>
          </cell>
          <cell r="G62">
            <v>0</v>
          </cell>
          <cell r="H62">
            <v>58185</v>
          </cell>
          <cell r="I62">
            <v>0</v>
          </cell>
          <cell r="J62">
            <v>0</v>
          </cell>
          <cell r="K62">
            <v>60750</v>
          </cell>
          <cell r="L62">
            <v>0</v>
          </cell>
          <cell r="M62">
            <v>0</v>
          </cell>
          <cell r="N62">
            <v>60750</v>
          </cell>
          <cell r="O62">
            <v>0</v>
          </cell>
          <cell r="P62">
            <v>0</v>
          </cell>
          <cell r="Q62">
            <v>1260</v>
          </cell>
          <cell r="R62">
            <v>0</v>
          </cell>
          <cell r="S62">
            <v>0</v>
          </cell>
          <cell r="T62">
            <v>62010</v>
          </cell>
          <cell r="U62">
            <v>0</v>
          </cell>
          <cell r="V62">
            <v>0</v>
          </cell>
        </row>
        <row r="65">
          <cell r="E65">
            <v>5230</v>
          </cell>
          <cell r="F65">
            <v>0</v>
          </cell>
          <cell r="G65">
            <v>0</v>
          </cell>
          <cell r="H65">
            <v>5720</v>
          </cell>
          <cell r="I65">
            <v>0</v>
          </cell>
          <cell r="J65">
            <v>0</v>
          </cell>
          <cell r="K65">
            <v>7810</v>
          </cell>
          <cell r="L65">
            <v>0</v>
          </cell>
          <cell r="M65">
            <v>0</v>
          </cell>
          <cell r="N65">
            <v>7810</v>
          </cell>
          <cell r="O65">
            <v>0</v>
          </cell>
          <cell r="P65">
            <v>0</v>
          </cell>
          <cell r="Q65">
            <v>-420</v>
          </cell>
          <cell r="R65">
            <v>0</v>
          </cell>
          <cell r="S65">
            <v>0</v>
          </cell>
          <cell r="T65">
            <v>7390</v>
          </cell>
          <cell r="U65">
            <v>0</v>
          </cell>
          <cell r="V65">
            <v>0</v>
          </cell>
        </row>
        <row r="67">
          <cell r="E67">
            <v>937.47</v>
          </cell>
          <cell r="F67">
            <v>0</v>
          </cell>
          <cell r="G67">
            <v>0</v>
          </cell>
          <cell r="H67">
            <v>938.66</v>
          </cell>
          <cell r="I67">
            <v>0</v>
          </cell>
          <cell r="J67">
            <v>0</v>
          </cell>
          <cell r="K67">
            <v>1000</v>
          </cell>
          <cell r="L67">
            <v>0</v>
          </cell>
          <cell r="M67">
            <v>0</v>
          </cell>
          <cell r="N67">
            <v>1000</v>
          </cell>
          <cell r="O67">
            <v>0</v>
          </cell>
          <cell r="P67">
            <v>0</v>
          </cell>
          <cell r="Q67">
            <v>0</v>
          </cell>
          <cell r="R67">
            <v>0</v>
          </cell>
          <cell r="S67">
            <v>0</v>
          </cell>
          <cell r="T67">
            <v>1000</v>
          </cell>
          <cell r="U67">
            <v>0</v>
          </cell>
          <cell r="V67">
            <v>0</v>
          </cell>
        </row>
        <row r="79">
          <cell r="E79">
            <v>33271.42</v>
          </cell>
          <cell r="F79">
            <v>0</v>
          </cell>
          <cell r="G79">
            <v>0</v>
          </cell>
          <cell r="H79">
            <v>30191.899999999998</v>
          </cell>
          <cell r="I79">
            <v>0</v>
          </cell>
          <cell r="J79">
            <v>0</v>
          </cell>
          <cell r="K79">
            <v>45500</v>
          </cell>
          <cell r="L79">
            <v>0</v>
          </cell>
          <cell r="M79">
            <v>0</v>
          </cell>
          <cell r="N79">
            <v>45500</v>
          </cell>
          <cell r="O79">
            <v>0</v>
          </cell>
          <cell r="P79">
            <v>0</v>
          </cell>
          <cell r="Q79">
            <v>0</v>
          </cell>
          <cell r="R79">
            <v>0</v>
          </cell>
          <cell r="S79">
            <v>0</v>
          </cell>
          <cell r="T79">
            <v>45500</v>
          </cell>
          <cell r="U79">
            <v>0</v>
          </cell>
          <cell r="V79">
            <v>0</v>
          </cell>
        </row>
        <row r="105">
          <cell r="E105">
            <v>2500</v>
          </cell>
          <cell r="F105">
            <v>0</v>
          </cell>
          <cell r="G105">
            <v>0</v>
          </cell>
          <cell r="H105">
            <v>4500</v>
          </cell>
          <cell r="I105">
            <v>0</v>
          </cell>
          <cell r="J105">
            <v>0</v>
          </cell>
          <cell r="K105">
            <v>3000</v>
          </cell>
          <cell r="L105">
            <v>0</v>
          </cell>
          <cell r="M105">
            <v>0</v>
          </cell>
          <cell r="N105">
            <v>3000</v>
          </cell>
          <cell r="O105">
            <v>0</v>
          </cell>
          <cell r="P105">
            <v>0</v>
          </cell>
          <cell r="Q105">
            <v>25000</v>
          </cell>
          <cell r="R105">
            <v>0</v>
          </cell>
          <cell r="S105">
            <v>0</v>
          </cell>
          <cell r="T105">
            <v>28000</v>
          </cell>
          <cell r="U105">
            <v>0</v>
          </cell>
          <cell r="V105">
            <v>0</v>
          </cell>
        </row>
        <row r="107">
          <cell r="E107">
            <v>132562.10999999999</v>
          </cell>
          <cell r="F107">
            <v>0</v>
          </cell>
          <cell r="G107">
            <v>0</v>
          </cell>
          <cell r="H107">
            <v>158133.21</v>
          </cell>
          <cell r="I107">
            <v>0</v>
          </cell>
          <cell r="J107">
            <v>0</v>
          </cell>
          <cell r="K107">
            <v>151630</v>
          </cell>
          <cell r="L107">
            <v>0</v>
          </cell>
          <cell r="M107">
            <v>0</v>
          </cell>
          <cell r="N107">
            <v>151630</v>
          </cell>
          <cell r="O107">
            <v>0</v>
          </cell>
          <cell r="P107">
            <v>0</v>
          </cell>
          <cell r="Q107">
            <v>-13300</v>
          </cell>
          <cell r="R107">
            <v>0</v>
          </cell>
          <cell r="S107">
            <v>0</v>
          </cell>
          <cell r="T107">
            <v>138330</v>
          </cell>
          <cell r="U107">
            <v>0</v>
          </cell>
          <cell r="V107">
            <v>0</v>
          </cell>
        </row>
        <row r="113">
          <cell r="E113"/>
          <cell r="F113"/>
          <cell r="G113"/>
          <cell r="H113">
            <v>206205.65</v>
          </cell>
          <cell r="I113">
            <v>0</v>
          </cell>
          <cell r="J113">
            <v>6086</v>
          </cell>
          <cell r="K113">
            <v>100000</v>
          </cell>
          <cell r="L113">
            <v>0</v>
          </cell>
          <cell r="M113">
            <v>0</v>
          </cell>
          <cell r="N113">
            <v>100000</v>
          </cell>
          <cell r="O113">
            <v>0</v>
          </cell>
          <cell r="P113">
            <v>0</v>
          </cell>
          <cell r="Q113">
            <v>450000</v>
          </cell>
          <cell r="R113">
            <v>0</v>
          </cell>
          <cell r="S113">
            <v>7150</v>
          </cell>
          <cell r="T113">
            <v>550000</v>
          </cell>
          <cell r="U113">
            <v>0</v>
          </cell>
          <cell r="V113">
            <v>7150</v>
          </cell>
        </row>
      </sheetData>
      <sheetData sheetId="13">
        <row r="24">
          <cell r="E24">
            <v>523549.99000000011</v>
          </cell>
          <cell r="F24">
            <v>0</v>
          </cell>
          <cell r="G24">
            <v>208035.98</v>
          </cell>
          <cell r="H24">
            <v>589949.69000000006</v>
          </cell>
          <cell r="I24">
            <v>0</v>
          </cell>
          <cell r="J24">
            <v>217732.03999999998</v>
          </cell>
          <cell r="K24">
            <v>652040</v>
          </cell>
          <cell r="L24">
            <v>0</v>
          </cell>
          <cell r="M24">
            <v>208950</v>
          </cell>
          <cell r="N24">
            <v>652040</v>
          </cell>
          <cell r="O24">
            <v>0</v>
          </cell>
          <cell r="P24">
            <v>208950</v>
          </cell>
          <cell r="Q24">
            <v>0</v>
          </cell>
          <cell r="R24">
            <v>0</v>
          </cell>
          <cell r="S24">
            <v>0</v>
          </cell>
          <cell r="T24">
            <v>652040</v>
          </cell>
          <cell r="U24">
            <v>0</v>
          </cell>
          <cell r="V24">
            <v>208950</v>
          </cell>
        </row>
      </sheetData>
      <sheetData sheetId="14">
        <row r="4">
          <cell r="E4">
            <v>2029801.040000001</v>
          </cell>
          <cell r="F4">
            <v>0</v>
          </cell>
          <cell r="G4">
            <v>0</v>
          </cell>
          <cell r="H4">
            <v>2280802.67</v>
          </cell>
          <cell r="I4">
            <v>0</v>
          </cell>
          <cell r="J4">
            <v>0</v>
          </cell>
          <cell r="K4">
            <v>2402250</v>
          </cell>
          <cell r="L4">
            <v>791700</v>
          </cell>
          <cell r="M4">
            <v>0</v>
          </cell>
          <cell r="N4">
            <v>2399250</v>
          </cell>
          <cell r="O4">
            <v>770060</v>
          </cell>
          <cell r="P4">
            <v>0</v>
          </cell>
          <cell r="Q4">
            <v>62200</v>
          </cell>
          <cell r="R4">
            <v>-45060</v>
          </cell>
          <cell r="S4">
            <v>0</v>
          </cell>
          <cell r="T4">
            <v>2461450</v>
          </cell>
          <cell r="U4">
            <v>725000</v>
          </cell>
          <cell r="V4">
            <v>0</v>
          </cell>
        </row>
        <row r="101">
          <cell r="E101"/>
          <cell r="F101"/>
          <cell r="G101"/>
          <cell r="H101"/>
          <cell r="I101"/>
          <cell r="J101"/>
          <cell r="K101"/>
          <cell r="L101"/>
          <cell r="M101"/>
          <cell r="N101"/>
          <cell r="O101"/>
          <cell r="P101"/>
          <cell r="Q101"/>
          <cell r="R101"/>
          <cell r="S101"/>
          <cell r="T101"/>
          <cell r="U101"/>
          <cell r="V101"/>
        </row>
        <row r="102">
          <cell r="E102">
            <v>8919.3700000000008</v>
          </cell>
          <cell r="F102">
            <v>0</v>
          </cell>
          <cell r="G102">
            <v>0</v>
          </cell>
          <cell r="H102">
            <v>16737.93</v>
          </cell>
          <cell r="I102">
            <v>0</v>
          </cell>
          <cell r="J102">
            <v>766610.89</v>
          </cell>
          <cell r="K102">
            <v>182000</v>
          </cell>
          <cell r="L102">
            <v>0</v>
          </cell>
          <cell r="M102">
            <v>947800</v>
          </cell>
          <cell r="N102">
            <v>182000</v>
          </cell>
          <cell r="O102">
            <v>0</v>
          </cell>
          <cell r="P102">
            <v>947800</v>
          </cell>
          <cell r="Q102">
            <v>0</v>
          </cell>
          <cell r="R102">
            <v>0</v>
          </cell>
          <cell r="S102">
            <v>0</v>
          </cell>
          <cell r="T102">
            <v>182000</v>
          </cell>
          <cell r="U102">
            <v>0</v>
          </cell>
          <cell r="V102">
            <v>947800</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Plánovanie, manažment a kontr"/>
      <sheetName val="2. Propagácia a marketing"/>
      <sheetName val="3.Interné služby"/>
      <sheetName val="4.Služby občanov"/>
      <sheetName val="5.Bezpečnosť, právo a por."/>
      <sheetName val="6.Odpadové hospodárstvo"/>
      <sheetName val="7.Komunikácie"/>
      <sheetName val="8.Doprava"/>
      <sheetName val="9. Vzdelávanie"/>
      <sheetName val="10. Šport"/>
      <sheetName val="11. Kultúra"/>
      <sheetName val="12. Prostredie pre život"/>
      <sheetName val="13. Sociálna starostlivosť"/>
      <sheetName val="14. Bývanie"/>
      <sheetName val="15. Administratíva"/>
      <sheetName val="List1"/>
    </sheetNames>
    <sheetDataSet>
      <sheetData sheetId="0" refreshError="1">
        <row r="5">
          <cell r="H5">
            <v>39379</v>
          </cell>
          <cell r="I5">
            <v>0</v>
          </cell>
          <cell r="J5">
            <v>0</v>
          </cell>
        </row>
        <row r="16">
          <cell r="H16">
            <v>26321</v>
          </cell>
          <cell r="I16">
            <v>0</v>
          </cell>
          <cell r="J16">
            <v>0</v>
          </cell>
        </row>
        <row r="27">
          <cell r="H27">
            <v>34932</v>
          </cell>
          <cell r="I27">
            <v>0</v>
          </cell>
          <cell r="J27">
            <v>0</v>
          </cell>
        </row>
        <row r="31">
          <cell r="H31">
            <v>0</v>
          </cell>
          <cell r="I31">
            <v>0</v>
          </cell>
          <cell r="J31">
            <v>0</v>
          </cell>
        </row>
        <row r="35">
          <cell r="H35">
            <v>2046</v>
          </cell>
          <cell r="I35">
            <v>0</v>
          </cell>
          <cell r="J35">
            <v>0</v>
          </cell>
        </row>
        <row r="47">
          <cell r="H47">
            <v>10904</v>
          </cell>
          <cell r="I47">
            <v>0</v>
          </cell>
          <cell r="J47">
            <v>0</v>
          </cell>
        </row>
        <row r="50">
          <cell r="H50">
            <v>9650</v>
          </cell>
          <cell r="I50">
            <v>22568</v>
          </cell>
          <cell r="J50">
            <v>0</v>
          </cell>
        </row>
        <row r="62">
          <cell r="H62">
            <v>44354</v>
          </cell>
          <cell r="I62">
            <v>0</v>
          </cell>
          <cell r="J62">
            <v>0</v>
          </cell>
        </row>
        <row r="72">
          <cell r="H72">
            <v>3600</v>
          </cell>
          <cell r="I72">
            <v>0</v>
          </cell>
          <cell r="J72">
            <v>0</v>
          </cell>
        </row>
        <row r="75">
          <cell r="H75">
            <v>8366</v>
          </cell>
          <cell r="I75">
            <v>0</v>
          </cell>
          <cell r="J75">
            <v>0</v>
          </cell>
        </row>
        <row r="79">
          <cell r="H79">
            <v>0</v>
          </cell>
          <cell r="I79">
            <v>0</v>
          </cell>
          <cell r="J79">
            <v>0</v>
          </cell>
        </row>
      </sheetData>
      <sheetData sheetId="1" refreshError="1">
        <row r="5">
          <cell r="H5">
            <v>130</v>
          </cell>
          <cell r="I5">
            <v>0</v>
          </cell>
          <cell r="J5">
            <v>0</v>
          </cell>
        </row>
        <row r="7">
          <cell r="H7">
            <v>1000</v>
          </cell>
          <cell r="I7">
            <v>0</v>
          </cell>
          <cell r="J7">
            <v>0</v>
          </cell>
        </row>
        <row r="11">
          <cell r="H11">
            <v>5765</v>
          </cell>
          <cell r="I11">
            <v>0</v>
          </cell>
          <cell r="J11">
            <v>0</v>
          </cell>
        </row>
        <row r="19">
          <cell r="H19">
            <v>1000</v>
          </cell>
          <cell r="I19">
            <v>0</v>
          </cell>
          <cell r="J19">
            <v>0</v>
          </cell>
        </row>
        <row r="21">
          <cell r="H21">
            <v>0</v>
          </cell>
          <cell r="I21">
            <v>0</v>
          </cell>
          <cell r="J21">
            <v>0</v>
          </cell>
        </row>
        <row r="24">
          <cell r="H24">
            <v>0</v>
          </cell>
          <cell r="I24">
            <v>0</v>
          </cell>
          <cell r="J24">
            <v>0</v>
          </cell>
        </row>
        <row r="26">
          <cell r="H26">
            <v>1480</v>
          </cell>
          <cell r="I26">
            <v>0</v>
          </cell>
          <cell r="J26">
            <v>0</v>
          </cell>
        </row>
        <row r="28">
          <cell r="H28">
            <v>0</v>
          </cell>
          <cell r="I28">
            <v>0</v>
          </cell>
          <cell r="J28">
            <v>0</v>
          </cell>
        </row>
        <row r="32">
          <cell r="H32">
            <v>3580</v>
          </cell>
          <cell r="I32">
            <v>0</v>
          </cell>
          <cell r="J32">
            <v>0</v>
          </cell>
        </row>
        <row r="54">
          <cell r="H54">
            <v>570</v>
          </cell>
        </row>
        <row r="60">
          <cell r="H60">
            <v>1000</v>
          </cell>
        </row>
      </sheetData>
      <sheetData sheetId="2" refreshError="1">
        <row r="4">
          <cell r="H4">
            <v>46864</v>
          </cell>
          <cell r="I4">
            <v>34000</v>
          </cell>
          <cell r="J4">
            <v>0</v>
          </cell>
        </row>
        <row r="31">
          <cell r="H31">
            <v>10900</v>
          </cell>
          <cell r="I31">
            <v>0</v>
          </cell>
          <cell r="J31">
            <v>0</v>
          </cell>
        </row>
        <row r="37">
          <cell r="H37">
            <v>3250</v>
          </cell>
          <cell r="I37">
            <v>0</v>
          </cell>
          <cell r="J37">
            <v>0</v>
          </cell>
        </row>
        <row r="43">
          <cell r="H43">
            <v>500</v>
          </cell>
          <cell r="I43">
            <v>0</v>
          </cell>
          <cell r="J43">
            <v>0</v>
          </cell>
        </row>
        <row r="47">
          <cell r="I47">
            <v>0</v>
          </cell>
          <cell r="J47">
            <v>0</v>
          </cell>
        </row>
        <row r="99">
          <cell r="H99">
            <v>4000</v>
          </cell>
        </row>
        <row r="101">
          <cell r="H101">
            <v>3700</v>
          </cell>
        </row>
        <row r="108">
          <cell r="H108">
            <v>1200</v>
          </cell>
        </row>
      </sheetData>
      <sheetData sheetId="3" refreshError="1">
        <row r="4">
          <cell r="H4">
            <v>15600</v>
          </cell>
          <cell r="I4">
            <v>0</v>
          </cell>
          <cell r="J4">
            <v>0</v>
          </cell>
        </row>
        <row r="18">
          <cell r="H18">
            <v>16737</v>
          </cell>
          <cell r="I18">
            <v>0</v>
          </cell>
          <cell r="J18">
            <v>0</v>
          </cell>
        </row>
        <row r="26">
          <cell r="H26">
            <v>200</v>
          </cell>
        </row>
        <row r="28">
          <cell r="H28">
            <v>10</v>
          </cell>
        </row>
      </sheetData>
      <sheetData sheetId="4" refreshError="1">
        <row r="5">
          <cell r="H5">
            <v>326718</v>
          </cell>
          <cell r="I5">
            <v>0</v>
          </cell>
          <cell r="J5">
            <v>0</v>
          </cell>
        </row>
        <row r="49">
          <cell r="H49">
            <v>67861</v>
          </cell>
          <cell r="I49">
            <v>3050</v>
          </cell>
          <cell r="J49">
            <v>0</v>
          </cell>
        </row>
        <row r="65">
          <cell r="I65">
            <v>3050</v>
          </cell>
        </row>
        <row r="66">
          <cell r="H66">
            <v>36887</v>
          </cell>
        </row>
        <row r="69">
          <cell r="H69">
            <v>37517</v>
          </cell>
          <cell r="I69">
            <v>0</v>
          </cell>
        </row>
        <row r="77">
          <cell r="H77">
            <v>0</v>
          </cell>
        </row>
        <row r="79">
          <cell r="H79">
            <v>1650</v>
          </cell>
        </row>
        <row r="94">
          <cell r="I94">
            <v>64679</v>
          </cell>
          <cell r="J94">
            <v>0</v>
          </cell>
        </row>
        <row r="95">
          <cell r="H95">
            <v>187042</v>
          </cell>
        </row>
        <row r="101">
          <cell r="H101">
            <v>74900</v>
          </cell>
        </row>
        <row r="102">
          <cell r="I102">
            <v>0</v>
          </cell>
          <cell r="J102">
            <v>0</v>
          </cell>
        </row>
        <row r="105">
          <cell r="I105">
            <v>0</v>
          </cell>
          <cell r="J105">
            <v>0</v>
          </cell>
        </row>
        <row r="109">
          <cell r="I109">
            <v>0</v>
          </cell>
          <cell r="J109">
            <v>0</v>
          </cell>
        </row>
        <row r="110">
          <cell r="H110">
            <v>1300</v>
          </cell>
        </row>
        <row r="111">
          <cell r="I111">
            <v>0</v>
          </cell>
          <cell r="J111">
            <v>0</v>
          </cell>
        </row>
      </sheetData>
      <sheetData sheetId="5" refreshError="1">
        <row r="5">
          <cell r="H5">
            <v>850</v>
          </cell>
          <cell r="I5">
            <v>5200</v>
          </cell>
          <cell r="J5">
            <v>0</v>
          </cell>
        </row>
        <row r="10">
          <cell r="H10">
            <v>558000</v>
          </cell>
          <cell r="I10">
            <v>0</v>
          </cell>
          <cell r="J10">
            <v>0</v>
          </cell>
        </row>
        <row r="15">
          <cell r="H15">
            <v>86950</v>
          </cell>
          <cell r="I15">
            <v>0</v>
          </cell>
          <cell r="J15">
            <v>0</v>
          </cell>
        </row>
        <row r="18">
          <cell r="H18">
            <v>13700</v>
          </cell>
          <cell r="I18">
            <v>0</v>
          </cell>
          <cell r="J18">
            <v>0</v>
          </cell>
        </row>
        <row r="20">
          <cell r="H20">
            <v>84350</v>
          </cell>
          <cell r="I20">
            <v>0</v>
          </cell>
          <cell r="J20">
            <v>0</v>
          </cell>
        </row>
      </sheetData>
      <sheetData sheetId="6" refreshError="1">
        <row r="5">
          <cell r="H5">
            <v>0</v>
          </cell>
          <cell r="I5">
            <v>0</v>
          </cell>
          <cell r="J5">
            <v>0</v>
          </cell>
        </row>
        <row r="7">
          <cell r="H7">
            <v>91205</v>
          </cell>
          <cell r="I7">
            <v>8850</v>
          </cell>
          <cell r="J7">
            <v>393048</v>
          </cell>
        </row>
        <row r="21">
          <cell r="H21">
            <v>79000</v>
          </cell>
          <cell r="I21">
            <v>0</v>
          </cell>
          <cell r="J21">
            <v>0</v>
          </cell>
        </row>
        <row r="24">
          <cell r="H24">
            <v>82000</v>
          </cell>
          <cell r="I24">
            <v>0</v>
          </cell>
          <cell r="J24">
            <v>0</v>
          </cell>
        </row>
        <row r="27">
          <cell r="H27">
            <v>96150</v>
          </cell>
          <cell r="I27">
            <v>0</v>
          </cell>
          <cell r="J27">
            <v>0</v>
          </cell>
        </row>
        <row r="31">
          <cell r="H31">
            <v>10350</v>
          </cell>
          <cell r="I31">
            <v>0</v>
          </cell>
          <cell r="J31">
            <v>0</v>
          </cell>
        </row>
        <row r="35">
          <cell r="H35">
            <v>10000</v>
          </cell>
          <cell r="I35">
            <v>0</v>
          </cell>
          <cell r="J35">
            <v>0</v>
          </cell>
        </row>
        <row r="39">
          <cell r="H39">
            <v>0</v>
          </cell>
          <cell r="I39">
            <v>120000</v>
          </cell>
          <cell r="J39">
            <v>0</v>
          </cell>
        </row>
        <row r="41">
          <cell r="H41">
            <v>9000</v>
          </cell>
          <cell r="I41">
            <v>0</v>
          </cell>
          <cell r="J41">
            <v>0</v>
          </cell>
        </row>
        <row r="44">
          <cell r="H44">
            <v>0</v>
          </cell>
          <cell r="I44">
            <v>0</v>
          </cell>
          <cell r="J44">
            <v>0</v>
          </cell>
        </row>
        <row r="47">
          <cell r="H47">
            <v>0</v>
          </cell>
          <cell r="I47">
            <v>0</v>
          </cell>
          <cell r="J47">
            <v>0</v>
          </cell>
        </row>
      </sheetData>
      <sheetData sheetId="7" refreshError="1">
        <row r="4">
          <cell r="H4">
            <v>71000</v>
          </cell>
          <cell r="I4">
            <v>0</v>
          </cell>
          <cell r="J4">
            <v>0</v>
          </cell>
        </row>
        <row r="7">
          <cell r="H7">
            <v>2850</v>
          </cell>
          <cell r="I7">
            <v>0</v>
          </cell>
          <cell r="J7">
            <v>0</v>
          </cell>
        </row>
      </sheetData>
      <sheetData sheetId="8" refreshError="1">
        <row r="4">
          <cell r="H4">
            <v>4292</v>
          </cell>
          <cell r="I4">
            <v>0</v>
          </cell>
          <cell r="J4">
            <v>0</v>
          </cell>
        </row>
        <row r="35">
          <cell r="I35">
            <v>0</v>
          </cell>
          <cell r="J35">
            <v>0</v>
          </cell>
        </row>
        <row r="38">
          <cell r="H38">
            <v>0</v>
          </cell>
          <cell r="I38">
            <v>0</v>
          </cell>
        </row>
        <row r="40">
          <cell r="I40">
            <v>0</v>
          </cell>
          <cell r="J40">
            <v>0</v>
          </cell>
        </row>
        <row r="48">
          <cell r="I48">
            <v>0</v>
          </cell>
          <cell r="J48">
            <v>231586</v>
          </cell>
        </row>
        <row r="54">
          <cell r="I54">
            <v>4320</v>
          </cell>
        </row>
        <row r="55">
          <cell r="J55">
            <v>0</v>
          </cell>
        </row>
        <row r="61">
          <cell r="H61">
            <v>212760</v>
          </cell>
          <cell r="I61">
            <v>0</v>
          </cell>
          <cell r="J61">
            <v>0</v>
          </cell>
        </row>
        <row r="72">
          <cell r="H72">
            <v>243590</v>
          </cell>
        </row>
        <row r="73">
          <cell r="H73">
            <v>0</v>
          </cell>
          <cell r="I73">
            <v>0</v>
          </cell>
          <cell r="J73">
            <v>0</v>
          </cell>
        </row>
      </sheetData>
      <sheetData sheetId="9" refreshError="1">
        <row r="4">
          <cell r="H4">
            <v>500</v>
          </cell>
          <cell r="I4">
            <v>0</v>
          </cell>
          <cell r="J4">
            <v>0</v>
          </cell>
        </row>
        <row r="9">
          <cell r="H9">
            <v>42170</v>
          </cell>
          <cell r="I9">
            <v>0</v>
          </cell>
          <cell r="J9">
            <v>0</v>
          </cell>
        </row>
        <row r="23">
          <cell r="H23">
            <v>45954</v>
          </cell>
          <cell r="I23">
            <v>0</v>
          </cell>
          <cell r="J23">
            <v>0</v>
          </cell>
        </row>
        <row r="36">
          <cell r="H36">
            <v>18820</v>
          </cell>
          <cell r="I36">
            <v>0</v>
          </cell>
          <cell r="J36">
            <v>0</v>
          </cell>
        </row>
        <row r="44">
          <cell r="I44">
            <v>0</v>
          </cell>
          <cell r="J44">
            <v>0</v>
          </cell>
        </row>
        <row r="57">
          <cell r="H57">
            <v>1900</v>
          </cell>
          <cell r="I57">
            <v>0</v>
          </cell>
          <cell r="J57">
            <v>0</v>
          </cell>
        </row>
        <row r="63">
          <cell r="I63">
            <v>0</v>
          </cell>
          <cell r="J63">
            <v>0</v>
          </cell>
        </row>
      </sheetData>
      <sheetData sheetId="10" refreshError="1">
        <row r="4">
          <cell r="H4">
            <v>2940</v>
          </cell>
          <cell r="I4">
            <v>0</v>
          </cell>
          <cell r="J4">
            <v>0</v>
          </cell>
        </row>
        <row r="24">
          <cell r="H24">
            <v>109400</v>
          </cell>
          <cell r="I24">
            <v>0</v>
          </cell>
          <cell r="J24">
            <v>0</v>
          </cell>
        </row>
        <row r="30">
          <cell r="H30">
            <v>2355</v>
          </cell>
          <cell r="I30">
            <v>0</v>
          </cell>
          <cell r="J30">
            <v>0</v>
          </cell>
        </row>
        <row r="43">
          <cell r="H43">
            <v>306185</v>
          </cell>
          <cell r="I43">
            <v>65088</v>
          </cell>
          <cell r="J43">
            <v>0</v>
          </cell>
        </row>
        <row r="156">
          <cell r="H156">
            <v>300</v>
          </cell>
        </row>
      </sheetData>
      <sheetData sheetId="11" refreshError="1">
        <row r="5">
          <cell r="H5">
            <v>117930</v>
          </cell>
          <cell r="I5">
            <v>0</v>
          </cell>
          <cell r="J5">
            <v>0</v>
          </cell>
        </row>
        <row r="19">
          <cell r="H19">
            <v>450</v>
          </cell>
          <cell r="I19">
            <v>0</v>
          </cell>
          <cell r="J19">
            <v>0</v>
          </cell>
        </row>
        <row r="21">
          <cell r="H21">
            <v>151902</v>
          </cell>
          <cell r="I21">
            <v>1921299</v>
          </cell>
          <cell r="J21">
            <v>0</v>
          </cell>
        </row>
        <row r="39">
          <cell r="H39">
            <v>2850</v>
          </cell>
          <cell r="I39">
            <v>0</v>
          </cell>
          <cell r="J39">
            <v>0</v>
          </cell>
        </row>
        <row r="45">
          <cell r="H45">
            <v>1825</v>
          </cell>
          <cell r="I45">
            <v>0</v>
          </cell>
          <cell r="J45">
            <v>0</v>
          </cell>
        </row>
        <row r="48">
          <cell r="H48">
            <v>6840</v>
          </cell>
          <cell r="I48">
            <v>7000</v>
          </cell>
          <cell r="J48">
            <v>0</v>
          </cell>
        </row>
        <row r="60">
          <cell r="H60">
            <v>75</v>
          </cell>
          <cell r="I60">
            <v>0</v>
          </cell>
          <cell r="J60">
            <v>0</v>
          </cell>
        </row>
        <row r="62">
          <cell r="H62">
            <v>19460</v>
          </cell>
          <cell r="I62">
            <v>0</v>
          </cell>
          <cell r="J62">
            <v>0</v>
          </cell>
        </row>
        <row r="69">
          <cell r="H69">
            <v>28950</v>
          </cell>
          <cell r="I69">
            <v>8480</v>
          </cell>
          <cell r="J69">
            <v>0</v>
          </cell>
        </row>
        <row r="98">
          <cell r="H98">
            <v>0</v>
          </cell>
          <cell r="I98">
            <v>0</v>
          </cell>
          <cell r="J98">
            <v>0</v>
          </cell>
        </row>
      </sheetData>
      <sheetData sheetId="12" refreshError="1">
        <row r="5">
          <cell r="H5">
            <v>0</v>
          </cell>
          <cell r="I5">
            <v>0</v>
          </cell>
        </row>
        <row r="7">
          <cell r="H7">
            <v>0</v>
          </cell>
        </row>
        <row r="8">
          <cell r="H8">
            <v>2000</v>
          </cell>
          <cell r="I8">
            <v>0</v>
          </cell>
          <cell r="J8">
            <v>0</v>
          </cell>
        </row>
        <row r="11">
          <cell r="H11">
            <v>155</v>
          </cell>
          <cell r="I11">
            <v>0</v>
          </cell>
          <cell r="J11">
            <v>0</v>
          </cell>
        </row>
        <row r="17">
          <cell r="H17">
            <v>0</v>
          </cell>
        </row>
        <row r="18">
          <cell r="H18">
            <v>7695</v>
          </cell>
          <cell r="I18">
            <v>0</v>
          </cell>
          <cell r="J18">
            <v>0</v>
          </cell>
        </row>
        <row r="20">
          <cell r="H20">
            <v>0</v>
          </cell>
        </row>
        <row r="22">
          <cell r="H22">
            <v>0</v>
          </cell>
        </row>
        <row r="24">
          <cell r="H24">
            <v>0</v>
          </cell>
        </row>
        <row r="25">
          <cell r="H25">
            <v>0</v>
          </cell>
          <cell r="I25">
            <v>2032610</v>
          </cell>
          <cell r="J25">
            <v>0</v>
          </cell>
        </row>
        <row r="38">
          <cell r="H38">
            <v>0</v>
          </cell>
          <cell r="I38">
            <v>0</v>
          </cell>
          <cell r="J38">
            <v>0</v>
          </cell>
        </row>
        <row r="41">
          <cell r="H41">
            <v>0</v>
          </cell>
          <cell r="I41">
            <v>0</v>
          </cell>
          <cell r="J41">
            <v>0</v>
          </cell>
        </row>
        <row r="43">
          <cell r="H43">
            <v>0</v>
          </cell>
        </row>
        <row r="44">
          <cell r="H44">
            <v>0</v>
          </cell>
        </row>
        <row r="45">
          <cell r="H45">
            <v>16468</v>
          </cell>
          <cell r="I45">
            <v>0</v>
          </cell>
          <cell r="J45">
            <v>0</v>
          </cell>
        </row>
        <row r="54">
          <cell r="H54">
            <v>150</v>
          </cell>
        </row>
        <row r="75">
          <cell r="H75">
            <v>1300</v>
          </cell>
        </row>
      </sheetData>
      <sheetData sheetId="13" refreshError="1">
        <row r="18">
          <cell r="H18">
            <v>329843</v>
          </cell>
          <cell r="I18">
            <v>0</v>
          </cell>
          <cell r="J18">
            <v>121080</v>
          </cell>
        </row>
      </sheetData>
      <sheetData sheetId="14" refreshError="1">
        <row r="4">
          <cell r="E4">
            <v>1132570.5700000003</v>
          </cell>
          <cell r="I4">
            <v>0</v>
          </cell>
          <cell r="J4">
            <v>0</v>
          </cell>
        </row>
        <row r="89">
          <cell r="H89">
            <v>1343</v>
          </cell>
        </row>
      </sheetData>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Plánovanie, manažment a kontr"/>
      <sheetName val="2. Propagácia a marketing"/>
      <sheetName val="3.Interné služby"/>
      <sheetName val="4.Služby občanov"/>
      <sheetName val="5.Bezpečnosť, právo a por."/>
      <sheetName val="6.Odpadové hospodárstvo"/>
      <sheetName val="7.Komunikácie"/>
      <sheetName val="8.Doprava"/>
      <sheetName val="9. Vzdelávanie"/>
      <sheetName val="10. Šport"/>
      <sheetName val="11. Kultúra"/>
      <sheetName val="12. Prostredie pre život"/>
      <sheetName val="13. Sociálna starostlivosť"/>
      <sheetName val="14. Bývanie"/>
      <sheetName val="15. Administratíva"/>
      <sheetName val="programy spolu"/>
      <sheetName val="Hárok1"/>
    </sheetNames>
    <sheetDataSet>
      <sheetData sheetId="0">
        <row r="5">
          <cell r="H5">
            <v>43061.19</v>
          </cell>
        </row>
      </sheetData>
      <sheetData sheetId="1">
        <row r="5">
          <cell r="H5">
            <v>99</v>
          </cell>
        </row>
      </sheetData>
      <sheetData sheetId="2">
        <row r="4">
          <cell r="H4">
            <v>56429.399999999994</v>
          </cell>
        </row>
        <row r="19">
          <cell r="Q19">
            <v>5000</v>
          </cell>
        </row>
      </sheetData>
      <sheetData sheetId="3">
        <row r="4">
          <cell r="H4">
            <v>13064.17</v>
          </cell>
        </row>
      </sheetData>
      <sheetData sheetId="4">
        <row r="5">
          <cell r="H5">
            <v>353683.45</v>
          </cell>
        </row>
      </sheetData>
      <sheetData sheetId="5">
        <row r="5">
          <cell r="H5">
            <v>302.08999999999997</v>
          </cell>
        </row>
      </sheetData>
      <sheetData sheetId="6">
        <row r="5">
          <cell r="H5">
            <v>0</v>
          </cell>
        </row>
      </sheetData>
      <sheetData sheetId="7">
        <row r="4">
          <cell r="H4">
            <v>81285.240000000005</v>
          </cell>
        </row>
      </sheetData>
      <sheetData sheetId="8">
        <row r="4">
          <cell r="H4">
            <v>2993.4500000000003</v>
          </cell>
        </row>
        <row r="9">
          <cell r="Q9">
            <v>1431</v>
          </cell>
        </row>
        <row r="18">
          <cell r="Q18">
            <v>1479615</v>
          </cell>
        </row>
        <row r="19">
          <cell r="Q19">
            <v>147030</v>
          </cell>
        </row>
        <row r="22">
          <cell r="Q22">
            <v>84028</v>
          </cell>
        </row>
        <row r="25">
          <cell r="Q25">
            <v>185514</v>
          </cell>
        </row>
        <row r="26">
          <cell r="Q26">
            <v>33520</v>
          </cell>
        </row>
        <row r="27">
          <cell r="Q27">
            <v>3786847</v>
          </cell>
        </row>
        <row r="36">
          <cell r="Q36">
            <v>0</v>
          </cell>
        </row>
        <row r="37">
          <cell r="Q37">
            <v>1055759</v>
          </cell>
        </row>
        <row r="38">
          <cell r="Q38">
            <v>0</v>
          </cell>
          <cell r="R38">
            <v>0</v>
          </cell>
        </row>
        <row r="46">
          <cell r="Q46">
            <v>403289</v>
          </cell>
        </row>
      </sheetData>
      <sheetData sheetId="9">
        <row r="4">
          <cell r="H4">
            <v>508.3</v>
          </cell>
        </row>
        <row r="38">
          <cell r="Q38">
            <v>16800</v>
          </cell>
        </row>
        <row r="56">
          <cell r="Q56">
            <v>12000</v>
          </cell>
        </row>
      </sheetData>
      <sheetData sheetId="10">
        <row r="4">
          <cell r="H4">
            <v>3906.37</v>
          </cell>
        </row>
      </sheetData>
      <sheetData sheetId="11">
        <row r="5">
          <cell r="H5">
            <v>118014.66</v>
          </cell>
        </row>
      </sheetData>
      <sheetData sheetId="12">
        <row r="5">
          <cell r="H5">
            <v>0</v>
          </cell>
        </row>
      </sheetData>
      <sheetData sheetId="13">
        <row r="22">
          <cell r="H22">
            <v>305017.27</v>
          </cell>
        </row>
      </sheetData>
      <sheetData sheetId="14">
        <row r="4">
          <cell r="H4">
            <v>1213529.68</v>
          </cell>
          <cell r="Q4">
            <v>1303806</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3"/>
  <sheetViews>
    <sheetView zoomScale="80" zoomScaleNormal="80" workbookViewId="0">
      <pane xSplit="1" ySplit="2" topLeftCell="B111" activePane="bottomRight" state="frozen"/>
      <selection pane="topRight" activeCell="B1" sqref="B1"/>
      <selection pane="bottomLeft" activeCell="A3" sqref="A3"/>
      <selection pane="bottomRight" activeCell="F34" sqref="F34"/>
    </sheetView>
  </sheetViews>
  <sheetFormatPr defaultRowHeight="15" x14ac:dyDescent="0.25"/>
  <cols>
    <col min="1" max="1" width="67.85546875" style="650" customWidth="1"/>
    <col min="2" max="3" width="24.28515625" style="619" customWidth="1"/>
    <col min="4" max="7" width="24.28515625" style="911" customWidth="1"/>
  </cols>
  <sheetData>
    <row r="1" spans="1:7" ht="28.5" customHeight="1" thickBot="1" x14ac:dyDescent="0.45">
      <c r="A1" s="688" t="s">
        <v>702</v>
      </c>
      <c r="B1" s="688"/>
      <c r="C1" s="688"/>
      <c r="D1" s="688"/>
      <c r="E1" s="688"/>
      <c r="F1" s="688"/>
      <c r="G1" s="897"/>
    </row>
    <row r="2" spans="1:7" ht="60" customHeight="1" thickBot="1" x14ac:dyDescent="0.35">
      <c r="A2" s="645" t="s">
        <v>405</v>
      </c>
      <c r="B2" s="635" t="s">
        <v>598</v>
      </c>
      <c r="C2" s="620" t="s">
        <v>647</v>
      </c>
      <c r="D2" s="251" t="s">
        <v>682</v>
      </c>
      <c r="E2" s="251" t="s">
        <v>683</v>
      </c>
      <c r="F2" s="251" t="s">
        <v>679</v>
      </c>
      <c r="G2" s="251" t="s">
        <v>680</v>
      </c>
    </row>
    <row r="3" spans="1:7" ht="18.75" thickBot="1" x14ac:dyDescent="0.3">
      <c r="A3" s="304" t="s">
        <v>407</v>
      </c>
      <c r="B3" s="597">
        <f t="shared" ref="B3" si="0">B4+B17</f>
        <v>20389361.02</v>
      </c>
      <c r="C3" s="621">
        <f t="shared" ref="C3:E3" si="1">C4+C17</f>
        <v>22156124.279999997</v>
      </c>
      <c r="D3" s="898">
        <f t="shared" si="1"/>
        <v>24709550</v>
      </c>
      <c r="E3" s="898">
        <f t="shared" si="1"/>
        <v>24709550</v>
      </c>
      <c r="F3" s="898">
        <f t="shared" ref="F3" si="2">F4+F17</f>
        <v>1637728</v>
      </c>
      <c r="G3" s="898">
        <f t="shared" ref="G3" si="3">G4+G17</f>
        <v>26347278</v>
      </c>
    </row>
    <row r="4" spans="1:7" ht="18" x14ac:dyDescent="0.25">
      <c r="A4" s="305" t="s">
        <v>5</v>
      </c>
      <c r="B4" s="636">
        <f t="shared" ref="B4" si="4">B5+B7+B9</f>
        <v>11109713.800000001</v>
      </c>
      <c r="C4" s="622">
        <f t="shared" ref="C4:E4" si="5">C5+C7+C9</f>
        <v>11921381.27</v>
      </c>
      <c r="D4" s="899">
        <f t="shared" si="5"/>
        <v>13263000</v>
      </c>
      <c r="E4" s="899">
        <f t="shared" si="5"/>
        <v>13263000</v>
      </c>
      <c r="F4" s="899">
        <f t="shared" ref="F4" si="6">F5+F7+F9</f>
        <v>0</v>
      </c>
      <c r="G4" s="899">
        <f t="shared" ref="G4" si="7">G5+G7+G9</f>
        <v>13263000</v>
      </c>
    </row>
    <row r="5" spans="1:7" ht="15.75" x14ac:dyDescent="0.25">
      <c r="A5" s="306" t="s">
        <v>6</v>
      </c>
      <c r="B5" s="637">
        <f t="shared" ref="B5:G5" si="8">SUM(B6)</f>
        <v>8844006.8200000003</v>
      </c>
      <c r="C5" s="623">
        <f t="shared" si="8"/>
        <v>9580280.6099999994</v>
      </c>
      <c r="D5" s="900">
        <f t="shared" si="8"/>
        <v>10600000</v>
      </c>
      <c r="E5" s="900">
        <f t="shared" si="8"/>
        <v>10600000</v>
      </c>
      <c r="F5" s="900">
        <f t="shared" si="8"/>
        <v>0</v>
      </c>
      <c r="G5" s="900">
        <f t="shared" si="8"/>
        <v>10600000</v>
      </c>
    </row>
    <row r="6" spans="1:7" ht="15.75" x14ac:dyDescent="0.25">
      <c r="A6" s="308" t="s">
        <v>7</v>
      </c>
      <c r="B6" s="639">
        <v>8844006.8200000003</v>
      </c>
      <c r="C6" s="618">
        <v>9580280.6099999994</v>
      </c>
      <c r="D6" s="901">
        <v>10600000</v>
      </c>
      <c r="E6" s="901">
        <v>10600000</v>
      </c>
      <c r="F6" s="901"/>
      <c r="G6" s="901">
        <f>E6+F6</f>
        <v>10600000</v>
      </c>
    </row>
    <row r="7" spans="1:7" ht="15.75" x14ac:dyDescent="0.25">
      <c r="A7" s="307" t="s">
        <v>8</v>
      </c>
      <c r="B7" s="637">
        <f t="shared" ref="B7:G7" si="9">SUM(B8)</f>
        <v>1268740.92</v>
      </c>
      <c r="C7" s="623">
        <f t="shared" si="9"/>
        <v>1297274.19</v>
      </c>
      <c r="D7" s="900">
        <f t="shared" si="9"/>
        <v>1500000</v>
      </c>
      <c r="E7" s="900">
        <f t="shared" si="9"/>
        <v>1500000</v>
      </c>
      <c r="F7" s="900">
        <f t="shared" si="9"/>
        <v>0</v>
      </c>
      <c r="G7" s="900">
        <f t="shared" si="9"/>
        <v>1500000</v>
      </c>
    </row>
    <row r="8" spans="1:7" ht="15.75" x14ac:dyDescent="0.25">
      <c r="A8" s="646" t="s">
        <v>9</v>
      </c>
      <c r="B8" s="639">
        <v>1268740.92</v>
      </c>
      <c r="C8" s="618">
        <v>1297274.19</v>
      </c>
      <c r="D8" s="901">
        <v>1500000</v>
      </c>
      <c r="E8" s="901">
        <v>1500000</v>
      </c>
      <c r="F8" s="901"/>
      <c r="G8" s="901">
        <f>E8+F8</f>
        <v>1500000</v>
      </c>
    </row>
    <row r="9" spans="1:7" ht="15.75" x14ac:dyDescent="0.25">
      <c r="A9" s="307" t="s">
        <v>10</v>
      </c>
      <c r="B9" s="637">
        <f t="shared" ref="B9" si="10">SUM(B10:B16)</f>
        <v>996966.05999999994</v>
      </c>
      <c r="C9" s="623">
        <f t="shared" ref="C9:E9" si="11">SUM(C10:C16)</f>
        <v>1043826.4700000001</v>
      </c>
      <c r="D9" s="900">
        <f t="shared" si="11"/>
        <v>1163000</v>
      </c>
      <c r="E9" s="900">
        <f t="shared" si="11"/>
        <v>1163000</v>
      </c>
      <c r="F9" s="900">
        <f t="shared" ref="F9" si="12">SUM(F10:F16)</f>
        <v>0</v>
      </c>
      <c r="G9" s="900">
        <f t="shared" ref="G9" si="13">SUM(G10:G16)</f>
        <v>1163000</v>
      </c>
    </row>
    <row r="10" spans="1:7" ht="15.75" x14ac:dyDescent="0.25">
      <c r="A10" s="308" t="s">
        <v>11</v>
      </c>
      <c r="B10" s="344">
        <v>18051.68</v>
      </c>
      <c r="C10" s="527">
        <v>17179.11</v>
      </c>
      <c r="D10" s="902">
        <v>23000</v>
      </c>
      <c r="E10" s="902">
        <v>23000</v>
      </c>
      <c r="F10" s="902"/>
      <c r="G10" s="902">
        <f>E10+F10</f>
        <v>23000</v>
      </c>
    </row>
    <row r="11" spans="1:7" ht="15.75" x14ac:dyDescent="0.25">
      <c r="A11" s="308" t="s">
        <v>436</v>
      </c>
      <c r="B11" s="344">
        <v>14873.4</v>
      </c>
      <c r="C11" s="527">
        <v>19330.8</v>
      </c>
      <c r="D11" s="902">
        <v>20000</v>
      </c>
      <c r="E11" s="902">
        <v>20000</v>
      </c>
      <c r="F11" s="902"/>
      <c r="G11" s="902">
        <f t="shared" ref="G11:G16" si="14">E11+F11</f>
        <v>20000</v>
      </c>
    </row>
    <row r="12" spans="1:7" ht="15.75" x14ac:dyDescent="0.25">
      <c r="A12" s="308" t="s">
        <v>12</v>
      </c>
      <c r="B12" s="344">
        <v>131116.6</v>
      </c>
      <c r="C12" s="527">
        <v>122945.24</v>
      </c>
      <c r="D12" s="902">
        <v>150000</v>
      </c>
      <c r="E12" s="902">
        <v>150000</v>
      </c>
      <c r="F12" s="902"/>
      <c r="G12" s="902">
        <f t="shared" si="14"/>
        <v>150000</v>
      </c>
    </row>
    <row r="13" spans="1:7" ht="15.75" x14ac:dyDescent="0.25">
      <c r="A13" s="308" t="s">
        <v>13</v>
      </c>
      <c r="B13" s="344">
        <v>21328.65</v>
      </c>
      <c r="C13" s="527">
        <v>45210.12</v>
      </c>
      <c r="D13" s="902">
        <v>25000</v>
      </c>
      <c r="E13" s="902">
        <v>25000</v>
      </c>
      <c r="F13" s="902"/>
      <c r="G13" s="902">
        <f t="shared" si="14"/>
        <v>25000</v>
      </c>
    </row>
    <row r="14" spans="1:7" ht="15.75" x14ac:dyDescent="0.25">
      <c r="A14" s="308" t="s">
        <v>14</v>
      </c>
      <c r="B14" s="344">
        <v>625215.88</v>
      </c>
      <c r="C14" s="527">
        <v>613320.67000000004</v>
      </c>
      <c r="D14" s="902">
        <v>710000</v>
      </c>
      <c r="E14" s="902">
        <v>710000</v>
      </c>
      <c r="F14" s="902"/>
      <c r="G14" s="902">
        <f t="shared" si="14"/>
        <v>710000</v>
      </c>
    </row>
    <row r="15" spans="1:7" ht="15.75" x14ac:dyDescent="0.25">
      <c r="A15" s="308" t="s">
        <v>15</v>
      </c>
      <c r="B15" s="344">
        <v>184919.85</v>
      </c>
      <c r="C15" s="342">
        <v>196060.53</v>
      </c>
      <c r="D15" s="904">
        <v>210000</v>
      </c>
      <c r="E15" s="904">
        <v>210000</v>
      </c>
      <c r="F15" s="904"/>
      <c r="G15" s="902">
        <f t="shared" si="14"/>
        <v>210000</v>
      </c>
    </row>
    <row r="16" spans="1:7" ht="15.75" x14ac:dyDescent="0.25">
      <c r="A16" s="308" t="s">
        <v>568</v>
      </c>
      <c r="B16" s="639">
        <v>1460</v>
      </c>
      <c r="C16" s="618">
        <v>29780</v>
      </c>
      <c r="D16" s="912">
        <v>25000</v>
      </c>
      <c r="E16" s="912">
        <v>25000</v>
      </c>
      <c r="F16" s="912"/>
      <c r="G16" s="902">
        <f t="shared" si="14"/>
        <v>25000</v>
      </c>
    </row>
    <row r="17" spans="1:7" s="331" customFormat="1" ht="18.75" x14ac:dyDescent="0.3">
      <c r="A17" s="309" t="s">
        <v>16</v>
      </c>
      <c r="B17" s="638">
        <f t="shared" ref="B17:G17" si="15">B18+B31+B54+B63</f>
        <v>9279647.2199999988</v>
      </c>
      <c r="C17" s="624">
        <f t="shared" si="15"/>
        <v>10234743.009999998</v>
      </c>
      <c r="D17" s="903">
        <f t="shared" si="15"/>
        <v>11446550</v>
      </c>
      <c r="E17" s="903">
        <f t="shared" si="15"/>
        <v>11446550</v>
      </c>
      <c r="F17" s="903">
        <f t="shared" si="15"/>
        <v>1637728</v>
      </c>
      <c r="G17" s="903">
        <f t="shared" si="15"/>
        <v>13084278</v>
      </c>
    </row>
    <row r="18" spans="1:7" ht="15.75" x14ac:dyDescent="0.25">
      <c r="A18" s="306" t="s">
        <v>17</v>
      </c>
      <c r="B18" s="637">
        <f t="shared" ref="B18" si="16">SUM(B19:B30)</f>
        <v>940073.36</v>
      </c>
      <c r="C18" s="623">
        <f t="shared" ref="C18:E18" si="17">SUM(C19:C30)</f>
        <v>1051994.3099999998</v>
      </c>
      <c r="D18" s="900">
        <f t="shared" si="17"/>
        <v>1064200</v>
      </c>
      <c r="E18" s="900">
        <f t="shared" si="17"/>
        <v>1064200</v>
      </c>
      <c r="F18" s="900">
        <f t="shared" ref="F18" si="18">SUM(F19:F30)</f>
        <v>5000</v>
      </c>
      <c r="G18" s="900">
        <f t="shared" ref="G18" si="19">SUM(G19:G30)</f>
        <v>1069200</v>
      </c>
    </row>
    <row r="19" spans="1:7" ht="15.75" x14ac:dyDescent="0.25">
      <c r="A19" s="308" t="s">
        <v>18</v>
      </c>
      <c r="B19" s="344">
        <v>83781.119999999995</v>
      </c>
      <c r="C19" s="342">
        <v>77721.39</v>
      </c>
      <c r="D19" s="904">
        <v>90000</v>
      </c>
      <c r="E19" s="904">
        <v>90000</v>
      </c>
      <c r="F19" s="904"/>
      <c r="G19" s="904">
        <f>E19+F19</f>
        <v>90000</v>
      </c>
    </row>
    <row r="20" spans="1:7" ht="15.75" x14ac:dyDescent="0.25">
      <c r="A20" s="308" t="s">
        <v>412</v>
      </c>
      <c r="B20" s="344">
        <v>5383</v>
      </c>
      <c r="C20" s="342">
        <v>17649</v>
      </c>
      <c r="D20" s="904">
        <v>20000</v>
      </c>
      <c r="E20" s="904">
        <v>20000</v>
      </c>
      <c r="F20" s="904"/>
      <c r="G20" s="904">
        <f t="shared" ref="G20:G30" si="20">E20+F20</f>
        <v>20000</v>
      </c>
    </row>
    <row r="21" spans="1:7" ht="15.75" x14ac:dyDescent="0.25">
      <c r="A21" s="308" t="s">
        <v>607</v>
      </c>
      <c r="B21" s="344">
        <f>2348.38+7922.51+2202.08+0+0+0+0+0+3850+0+0+6781.4+0</f>
        <v>23104.37</v>
      </c>
      <c r="C21" s="342">
        <f>4100+15489.25+7261.86+4914.44+809.06+8526.11</f>
        <v>41100.720000000001</v>
      </c>
      <c r="D21" s="904"/>
      <c r="E21" s="904"/>
      <c r="F21" s="904"/>
      <c r="G21" s="904">
        <f t="shared" si="20"/>
        <v>0</v>
      </c>
    </row>
    <row r="22" spans="1:7" ht="15.75" x14ac:dyDescent="0.25">
      <c r="A22" s="308" t="s">
        <v>19</v>
      </c>
      <c r="B22" s="344">
        <v>1631.67</v>
      </c>
      <c r="C22" s="342">
        <v>1706.59</v>
      </c>
      <c r="D22" s="904">
        <v>1800</v>
      </c>
      <c r="E22" s="904">
        <v>1800</v>
      </c>
      <c r="F22" s="904"/>
      <c r="G22" s="904">
        <f t="shared" si="20"/>
        <v>1800</v>
      </c>
    </row>
    <row r="23" spans="1:7" ht="15.75" x14ac:dyDescent="0.25">
      <c r="A23" s="308" t="s">
        <v>20</v>
      </c>
      <c r="B23" s="344">
        <v>5</v>
      </c>
      <c r="C23" s="342"/>
      <c r="D23" s="904"/>
      <c r="E23" s="904"/>
      <c r="F23" s="904"/>
      <c r="G23" s="904">
        <f t="shared" si="20"/>
        <v>0</v>
      </c>
    </row>
    <row r="24" spans="1:7" ht="15.75" x14ac:dyDescent="0.25">
      <c r="A24" s="308" t="s">
        <v>552</v>
      </c>
      <c r="B24" s="344">
        <v>735586.3</v>
      </c>
      <c r="C24" s="342">
        <v>811584.88</v>
      </c>
      <c r="D24" s="904">
        <v>820000</v>
      </c>
      <c r="E24" s="904">
        <v>820000</v>
      </c>
      <c r="F24" s="904"/>
      <c r="G24" s="904">
        <f t="shared" si="20"/>
        <v>820000</v>
      </c>
    </row>
    <row r="25" spans="1:7" ht="15.75" x14ac:dyDescent="0.25">
      <c r="A25" s="308" t="s">
        <v>22</v>
      </c>
      <c r="B25" s="344">
        <v>10069.26</v>
      </c>
      <c r="C25" s="342">
        <v>4528.84</v>
      </c>
      <c r="D25" s="904">
        <v>30000</v>
      </c>
      <c r="E25" s="904">
        <v>30000</v>
      </c>
      <c r="F25" s="904"/>
      <c r="G25" s="904">
        <f t="shared" si="20"/>
        <v>30000</v>
      </c>
    </row>
    <row r="26" spans="1:7" ht="15.75" x14ac:dyDescent="0.25">
      <c r="A26" s="308" t="s">
        <v>23</v>
      </c>
      <c r="B26" s="344">
        <v>9609.7199999999993</v>
      </c>
      <c r="C26" s="342">
        <v>12990.95</v>
      </c>
      <c r="D26" s="904">
        <v>12000</v>
      </c>
      <c r="E26" s="904">
        <v>12000</v>
      </c>
      <c r="F26" s="904"/>
      <c r="G26" s="904">
        <f t="shared" si="20"/>
        <v>12000</v>
      </c>
    </row>
    <row r="27" spans="1:7" ht="15.75" x14ac:dyDescent="0.25">
      <c r="A27" s="308" t="s">
        <v>24</v>
      </c>
      <c r="B27" s="344">
        <v>4622.1400000000003</v>
      </c>
      <c r="C27" s="342">
        <v>5189.1899999999996</v>
      </c>
      <c r="D27" s="904">
        <v>5400</v>
      </c>
      <c r="E27" s="904">
        <v>5400</v>
      </c>
      <c r="F27" s="904"/>
      <c r="G27" s="904">
        <f t="shared" si="20"/>
        <v>5400</v>
      </c>
    </row>
    <row r="28" spans="1:7" ht="15.75" x14ac:dyDescent="0.25">
      <c r="A28" s="308" t="s">
        <v>25</v>
      </c>
      <c r="B28" s="344">
        <v>29580.2</v>
      </c>
      <c r="C28" s="342">
        <v>25370.6</v>
      </c>
      <c r="D28" s="904">
        <v>30000</v>
      </c>
      <c r="E28" s="904">
        <v>30000</v>
      </c>
      <c r="F28" s="904"/>
      <c r="G28" s="904">
        <f t="shared" si="20"/>
        <v>30000</v>
      </c>
    </row>
    <row r="29" spans="1:7" ht="15.75" x14ac:dyDescent="0.25">
      <c r="A29" s="308" t="s">
        <v>26</v>
      </c>
      <c r="B29" s="344">
        <v>30365.75</v>
      </c>
      <c r="C29" s="342">
        <v>42778.6</v>
      </c>
      <c r="D29" s="904">
        <v>45000</v>
      </c>
      <c r="E29" s="904">
        <v>45000</v>
      </c>
      <c r="F29" s="904"/>
      <c r="G29" s="904">
        <f t="shared" si="20"/>
        <v>45000</v>
      </c>
    </row>
    <row r="30" spans="1:7" ht="15.75" x14ac:dyDescent="0.25">
      <c r="A30" s="646" t="s">
        <v>28</v>
      </c>
      <c r="B30" s="639">
        <v>6334.83</v>
      </c>
      <c r="C30" s="341">
        <v>11373.55</v>
      </c>
      <c r="D30" s="901">
        <v>10000</v>
      </c>
      <c r="E30" s="901">
        <v>10000</v>
      </c>
      <c r="F30" s="901">
        <v>5000</v>
      </c>
      <c r="G30" s="905">
        <f t="shared" si="20"/>
        <v>15000</v>
      </c>
    </row>
    <row r="31" spans="1:7" s="322" customFormat="1" ht="15.75" x14ac:dyDescent="0.25">
      <c r="A31" s="306" t="s">
        <v>29</v>
      </c>
      <c r="B31" s="637">
        <f t="shared" ref="B31:G31" si="21">SUM(B32:B53)</f>
        <v>1136020.07</v>
      </c>
      <c r="C31" s="623">
        <f t="shared" si="21"/>
        <v>1680171.44</v>
      </c>
      <c r="D31" s="900">
        <f t="shared" si="21"/>
        <v>2215900</v>
      </c>
      <c r="E31" s="900">
        <f t="shared" si="21"/>
        <v>2215900</v>
      </c>
      <c r="F31" s="900">
        <f t="shared" si="21"/>
        <v>-112000</v>
      </c>
      <c r="G31" s="900">
        <f t="shared" si="21"/>
        <v>2103900</v>
      </c>
    </row>
    <row r="32" spans="1:7" ht="15.75" x14ac:dyDescent="0.25">
      <c r="A32" s="308" t="s">
        <v>30</v>
      </c>
      <c r="B32" s="344">
        <v>0</v>
      </c>
      <c r="C32" s="342"/>
      <c r="D32" s="904">
        <v>1000</v>
      </c>
      <c r="E32" s="904">
        <v>1000</v>
      </c>
      <c r="F32" s="904"/>
      <c r="G32" s="904">
        <f>E32+F32</f>
        <v>1000</v>
      </c>
    </row>
    <row r="33" spans="1:7" ht="15.75" x14ac:dyDescent="0.25">
      <c r="A33" s="308" t="s">
        <v>31</v>
      </c>
      <c r="B33" s="344">
        <v>28194</v>
      </c>
      <c r="C33" s="342">
        <v>24820</v>
      </c>
      <c r="D33" s="904">
        <v>30000</v>
      </c>
      <c r="E33" s="904">
        <v>30000</v>
      </c>
      <c r="F33" s="904"/>
      <c r="G33" s="904">
        <f t="shared" ref="G33:G53" si="22">E33+F33</f>
        <v>30000</v>
      </c>
    </row>
    <row r="34" spans="1:7" ht="15.75" x14ac:dyDescent="0.25">
      <c r="A34" s="308" t="s">
        <v>32</v>
      </c>
      <c r="B34" s="344">
        <v>5930</v>
      </c>
      <c r="C34" s="342">
        <v>6520</v>
      </c>
      <c r="D34" s="904">
        <v>7000</v>
      </c>
      <c r="E34" s="904">
        <v>7000</v>
      </c>
      <c r="F34" s="904"/>
      <c r="G34" s="904">
        <f t="shared" si="22"/>
        <v>7000</v>
      </c>
    </row>
    <row r="35" spans="1:7" ht="15.75" x14ac:dyDescent="0.25">
      <c r="A35" s="308" t="s">
        <v>548</v>
      </c>
      <c r="B35" s="344">
        <v>1285</v>
      </c>
      <c r="C35" s="342">
        <v>990</v>
      </c>
      <c r="D35" s="904">
        <v>1500</v>
      </c>
      <c r="E35" s="904">
        <v>1500</v>
      </c>
      <c r="F35" s="904"/>
      <c r="G35" s="904">
        <f t="shared" si="22"/>
        <v>1500</v>
      </c>
    </row>
    <row r="36" spans="1:7" ht="15.75" x14ac:dyDescent="0.25">
      <c r="A36" s="308" t="s">
        <v>34</v>
      </c>
      <c r="B36" s="344">
        <v>491</v>
      </c>
      <c r="C36" s="342">
        <v>655</v>
      </c>
      <c r="D36" s="904">
        <v>1000</v>
      </c>
      <c r="E36" s="904">
        <v>1000</v>
      </c>
      <c r="F36" s="904"/>
      <c r="G36" s="904">
        <f t="shared" si="22"/>
        <v>1000</v>
      </c>
    </row>
    <row r="37" spans="1:7" ht="15.75" x14ac:dyDescent="0.25">
      <c r="A37" s="308" t="s">
        <v>35</v>
      </c>
      <c r="B37" s="344">
        <v>32636</v>
      </c>
      <c r="C37" s="342">
        <v>30610</v>
      </c>
      <c r="D37" s="904">
        <v>35000</v>
      </c>
      <c r="E37" s="904">
        <v>35000</v>
      </c>
      <c r="F37" s="904"/>
      <c r="G37" s="904">
        <f t="shared" si="22"/>
        <v>35000</v>
      </c>
    </row>
    <row r="38" spans="1:7" ht="15.75" x14ac:dyDescent="0.25">
      <c r="A38" s="308" t="s">
        <v>36</v>
      </c>
      <c r="B38" s="344">
        <v>21923.03</v>
      </c>
      <c r="C38" s="342">
        <v>25875</v>
      </c>
      <c r="D38" s="904">
        <v>25000</v>
      </c>
      <c r="E38" s="904">
        <v>25000</v>
      </c>
      <c r="F38" s="904">
        <v>5000</v>
      </c>
      <c r="G38" s="904">
        <f t="shared" si="22"/>
        <v>30000</v>
      </c>
    </row>
    <row r="39" spans="1:7" ht="15.75" x14ac:dyDescent="0.25">
      <c r="A39" s="308" t="s">
        <v>433</v>
      </c>
      <c r="B39" s="344">
        <v>1949.12</v>
      </c>
      <c r="C39" s="342">
        <v>4235.59</v>
      </c>
      <c r="D39" s="904">
        <v>10000</v>
      </c>
      <c r="E39" s="904">
        <v>10000</v>
      </c>
      <c r="F39" s="904"/>
      <c r="G39" s="904">
        <f t="shared" si="22"/>
        <v>10000</v>
      </c>
    </row>
    <row r="40" spans="1:7" ht="15.75" x14ac:dyDescent="0.25">
      <c r="A40" s="308" t="s">
        <v>38</v>
      </c>
      <c r="B40" s="344">
        <v>15262.77</v>
      </c>
      <c r="C40" s="342">
        <v>20999.34</v>
      </c>
      <c r="D40" s="904">
        <v>23000</v>
      </c>
      <c r="E40" s="904">
        <v>23000</v>
      </c>
      <c r="F40" s="904"/>
      <c r="G40" s="904">
        <f t="shared" si="22"/>
        <v>23000</v>
      </c>
    </row>
    <row r="41" spans="1:7" ht="15.75" x14ac:dyDescent="0.25">
      <c r="A41" s="308" t="s">
        <v>39</v>
      </c>
      <c r="B41" s="344">
        <v>3712.94</v>
      </c>
      <c r="C41" s="342">
        <v>3586.48</v>
      </c>
      <c r="D41" s="904">
        <v>4000</v>
      </c>
      <c r="E41" s="904">
        <v>4000</v>
      </c>
      <c r="F41" s="904"/>
      <c r="G41" s="904">
        <f t="shared" si="22"/>
        <v>4000</v>
      </c>
    </row>
    <row r="42" spans="1:7" ht="15.75" x14ac:dyDescent="0.25">
      <c r="A42" s="647" t="s">
        <v>41</v>
      </c>
      <c r="B42" s="344">
        <v>15264.53</v>
      </c>
      <c r="C42" s="342">
        <v>15353.32</v>
      </c>
      <c r="D42" s="904">
        <v>16000</v>
      </c>
      <c r="E42" s="904">
        <v>16000</v>
      </c>
      <c r="F42" s="904"/>
      <c r="G42" s="904">
        <f t="shared" si="22"/>
        <v>16000</v>
      </c>
    </row>
    <row r="43" spans="1:7" ht="15.75" x14ac:dyDescent="0.25">
      <c r="A43" s="308" t="s">
        <v>44</v>
      </c>
      <c r="B43" s="344">
        <v>1339.22</v>
      </c>
      <c r="C43" s="342">
        <v>89697.55</v>
      </c>
      <c r="D43" s="904">
        <v>90000</v>
      </c>
      <c r="E43" s="904">
        <v>90000</v>
      </c>
      <c r="F43" s="904"/>
      <c r="G43" s="904">
        <f t="shared" si="22"/>
        <v>90000</v>
      </c>
    </row>
    <row r="44" spans="1:7" ht="15.75" x14ac:dyDescent="0.25">
      <c r="A44" s="308" t="s">
        <v>45</v>
      </c>
      <c r="B44" s="344"/>
      <c r="C44" s="342">
        <v>26700.5</v>
      </c>
      <c r="D44" s="904">
        <v>80000</v>
      </c>
      <c r="E44" s="904">
        <v>80000</v>
      </c>
      <c r="F44" s="904"/>
      <c r="G44" s="904">
        <f t="shared" si="22"/>
        <v>80000</v>
      </c>
    </row>
    <row r="45" spans="1:7" ht="15.75" x14ac:dyDescent="0.25">
      <c r="A45" s="308" t="s">
        <v>462</v>
      </c>
      <c r="B45" s="344">
        <v>1516.92</v>
      </c>
      <c r="C45" s="342">
        <v>5643.65</v>
      </c>
      <c r="D45" s="904">
        <v>6000</v>
      </c>
      <c r="E45" s="904">
        <v>6000</v>
      </c>
      <c r="F45" s="904"/>
      <c r="G45" s="904">
        <f t="shared" si="22"/>
        <v>6000</v>
      </c>
    </row>
    <row r="46" spans="1:7" ht="15.75" x14ac:dyDescent="0.25">
      <c r="A46" s="308" t="s">
        <v>435</v>
      </c>
      <c r="B46" s="344">
        <v>6230</v>
      </c>
      <c r="C46" s="342">
        <v>6650</v>
      </c>
      <c r="D46" s="904">
        <v>7400</v>
      </c>
      <c r="E46" s="904">
        <v>7400</v>
      </c>
      <c r="F46" s="904"/>
      <c r="G46" s="904">
        <f t="shared" si="22"/>
        <v>7400</v>
      </c>
    </row>
    <row r="47" spans="1:7" ht="15.75" x14ac:dyDescent="0.25">
      <c r="A47" s="308" t="s">
        <v>51</v>
      </c>
      <c r="B47" s="344">
        <v>0</v>
      </c>
      <c r="C47" s="342">
        <v>0</v>
      </c>
      <c r="D47" s="904">
        <v>9000</v>
      </c>
      <c r="E47" s="904">
        <v>9000</v>
      </c>
      <c r="F47" s="904">
        <v>3000</v>
      </c>
      <c r="G47" s="904">
        <f t="shared" si="22"/>
        <v>12000</v>
      </c>
    </row>
    <row r="48" spans="1:7" ht="15.75" x14ac:dyDescent="0.25">
      <c r="A48" s="308" t="s">
        <v>437</v>
      </c>
      <c r="B48" s="344">
        <v>320888.99</v>
      </c>
      <c r="C48" s="342">
        <v>355660.17</v>
      </c>
      <c r="D48" s="904">
        <v>400000</v>
      </c>
      <c r="E48" s="904">
        <v>400000</v>
      </c>
      <c r="F48" s="904">
        <v>30000</v>
      </c>
      <c r="G48" s="904">
        <f t="shared" si="22"/>
        <v>430000</v>
      </c>
    </row>
    <row r="49" spans="1:7" ht="15.75" x14ac:dyDescent="0.25">
      <c r="A49" s="308" t="s">
        <v>606</v>
      </c>
      <c r="B49" s="344">
        <v>157409.16</v>
      </c>
      <c r="C49" s="342">
        <v>172877.34</v>
      </c>
      <c r="D49" s="904">
        <v>260000</v>
      </c>
      <c r="E49" s="904">
        <v>260000</v>
      </c>
      <c r="F49" s="904"/>
      <c r="G49" s="904">
        <f t="shared" si="22"/>
        <v>260000</v>
      </c>
    </row>
    <row r="50" spans="1:7" ht="15.75" x14ac:dyDescent="0.25">
      <c r="A50" s="308" t="s">
        <v>442</v>
      </c>
      <c r="B50" s="344">
        <v>5019.8</v>
      </c>
      <c r="C50" s="342">
        <v>5553.6</v>
      </c>
      <c r="D50" s="904">
        <v>8000</v>
      </c>
      <c r="E50" s="904">
        <v>8000</v>
      </c>
      <c r="F50" s="904"/>
      <c r="G50" s="904">
        <f t="shared" si="22"/>
        <v>8000</v>
      </c>
    </row>
    <row r="51" spans="1:7" ht="15.75" x14ac:dyDescent="0.25">
      <c r="A51" s="308" t="s">
        <v>613</v>
      </c>
      <c r="B51" s="344">
        <f>15697.96+12240.28+13794.2+26917.1+12078.2+10870.7+12018.05+31721.5+11990.17+15531+15358.44+15160+23821.9+54754</f>
        <v>271953.5</v>
      </c>
      <c r="C51" s="342">
        <f>13303.5+21382+37309.2+15068.72+17924.36+18517.5+3138.45+12524+21984.63+51032.81+7042.82+29103.9+7605.3+15392+13545.95+57452+46027.88</f>
        <v>388355.01999999996</v>
      </c>
      <c r="D51" s="904">
        <v>500000</v>
      </c>
      <c r="E51" s="904">
        <v>500000</v>
      </c>
      <c r="F51" s="904">
        <f>2200+10000+15000+2480+300+20</f>
        <v>30000</v>
      </c>
      <c r="G51" s="904">
        <f t="shared" si="22"/>
        <v>530000</v>
      </c>
    </row>
    <row r="52" spans="1:7" ht="15.75" x14ac:dyDescent="0.25">
      <c r="A52" s="308" t="s">
        <v>468</v>
      </c>
      <c r="B52" s="344">
        <f>33621.43+11420.14+16733.38+41688.32+28529.7+0+11314.31+27403.84+11531.61+27518.64+15088.06+15454.66+0</f>
        <v>240304.09</v>
      </c>
      <c r="C52" s="342">
        <f>15367.64+34649.25+38657.8+16529.12+19734.53+19894.99+29894.57+49020.43+107124.04+80895.05+82877.46</f>
        <v>494644.88</v>
      </c>
      <c r="D52" s="904">
        <v>700000</v>
      </c>
      <c r="E52" s="904">
        <v>700000</v>
      </c>
      <c r="F52" s="904">
        <v>-180000</v>
      </c>
      <c r="G52" s="904">
        <f t="shared" si="22"/>
        <v>520000</v>
      </c>
    </row>
    <row r="53" spans="1:7" ht="15.75" x14ac:dyDescent="0.25">
      <c r="A53" s="308" t="s">
        <v>55</v>
      </c>
      <c r="B53" s="639">
        <v>4710</v>
      </c>
      <c r="C53" s="341">
        <v>744</v>
      </c>
      <c r="D53" s="901">
        <v>2000</v>
      </c>
      <c r="E53" s="901">
        <v>2000</v>
      </c>
      <c r="F53" s="901"/>
      <c r="G53" s="905">
        <f t="shared" si="22"/>
        <v>2000</v>
      </c>
    </row>
    <row r="54" spans="1:7" ht="15.75" x14ac:dyDescent="0.25">
      <c r="A54" s="307" t="s">
        <v>597</v>
      </c>
      <c r="B54" s="637">
        <f t="shared" ref="B54" si="23">SUM(B55:B62)</f>
        <v>281109.15000000002</v>
      </c>
      <c r="C54" s="623">
        <f t="shared" ref="C54:E54" si="24">SUM(C55:C62)</f>
        <v>215919.86999999997</v>
      </c>
      <c r="D54" s="900">
        <f t="shared" si="24"/>
        <v>117500</v>
      </c>
      <c r="E54" s="900">
        <f t="shared" si="24"/>
        <v>117500</v>
      </c>
      <c r="F54" s="900">
        <f t="shared" ref="F54" si="25">SUM(F55:F62)</f>
        <v>35600</v>
      </c>
      <c r="G54" s="900">
        <f t="shared" ref="G54" si="26">SUM(G55:G62)</f>
        <v>153100</v>
      </c>
    </row>
    <row r="55" spans="1:7" ht="15.75" x14ac:dyDescent="0.25">
      <c r="A55" s="308" t="s">
        <v>441</v>
      </c>
      <c r="B55" s="344">
        <v>139494.38</v>
      </c>
      <c r="C55" s="342">
        <v>127496.61</v>
      </c>
      <c r="D55" s="904">
        <v>60000</v>
      </c>
      <c r="E55" s="904">
        <v>60000</v>
      </c>
      <c r="F55" s="904">
        <v>40000</v>
      </c>
      <c r="G55" s="904">
        <f>E55+F55</f>
        <v>100000</v>
      </c>
    </row>
    <row r="56" spans="1:7" ht="15.75" x14ac:dyDescent="0.25">
      <c r="A56" s="308" t="s">
        <v>549</v>
      </c>
      <c r="B56" s="344"/>
      <c r="C56" s="342">
        <v>2329.2800000000002</v>
      </c>
      <c r="D56" s="904"/>
      <c r="E56" s="904"/>
      <c r="F56" s="904"/>
      <c r="G56" s="904">
        <f t="shared" ref="G56:G62" si="27">E56+F56</f>
        <v>0</v>
      </c>
    </row>
    <row r="57" spans="1:7" ht="15.75" x14ac:dyDescent="0.25">
      <c r="A57" s="308" t="s">
        <v>434</v>
      </c>
      <c r="B57" s="344">
        <v>41558.080000000002</v>
      </c>
      <c r="C57" s="342">
        <v>12888.35</v>
      </c>
      <c r="D57" s="904">
        <v>15000</v>
      </c>
      <c r="E57" s="904">
        <v>15000</v>
      </c>
      <c r="F57" s="904">
        <v>-5000</v>
      </c>
      <c r="G57" s="904">
        <f t="shared" si="27"/>
        <v>10000</v>
      </c>
    </row>
    <row r="58" spans="1:7" ht="15.75" x14ac:dyDescent="0.25">
      <c r="A58" s="308" t="s">
        <v>463</v>
      </c>
      <c r="B58" s="344">
        <v>7213.44</v>
      </c>
      <c r="C58" s="342">
        <v>5054.74</v>
      </c>
      <c r="D58" s="904">
        <v>10000</v>
      </c>
      <c r="E58" s="904">
        <v>10000</v>
      </c>
      <c r="F58" s="904">
        <v>600</v>
      </c>
      <c r="G58" s="904">
        <f t="shared" si="27"/>
        <v>10600</v>
      </c>
    </row>
    <row r="59" spans="1:7" ht="15.75" x14ac:dyDescent="0.25">
      <c r="A59" s="308" t="s">
        <v>58</v>
      </c>
      <c r="B59" s="344">
        <v>2884.44</v>
      </c>
      <c r="C59" s="342">
        <v>2204.62</v>
      </c>
      <c r="D59" s="904">
        <v>2000</v>
      </c>
      <c r="E59" s="904">
        <v>2000</v>
      </c>
      <c r="F59" s="904"/>
      <c r="G59" s="904">
        <f t="shared" si="27"/>
        <v>2000</v>
      </c>
    </row>
    <row r="60" spans="1:7" ht="15.75" x14ac:dyDescent="0.25">
      <c r="A60" s="308" t="s">
        <v>619</v>
      </c>
      <c r="B60" s="344">
        <v>36207.129999999997</v>
      </c>
      <c r="C60" s="342">
        <v>27348</v>
      </c>
      <c r="D60" s="904">
        <v>30000</v>
      </c>
      <c r="E60" s="904">
        <v>30000</v>
      </c>
      <c r="F60" s="904"/>
      <c r="G60" s="904">
        <f t="shared" si="27"/>
        <v>30000</v>
      </c>
    </row>
    <row r="61" spans="1:7" ht="15.75" x14ac:dyDescent="0.25">
      <c r="A61" s="308" t="s">
        <v>608</v>
      </c>
      <c r="B61" s="344">
        <f>9876.93+804.74+1365.35+9518.65+742.19+1598.64+1693.1+6429.69+3746.85+7309.85+3701.85+5613.65+0+107.45</f>
        <v>52508.939999999988</v>
      </c>
      <c r="C61" s="342">
        <f>1842.65+4232.59+4514.05+66.96+1946.55+2601.3+47.57+2467.85+780.06+0+2.22+1973.7+710+4046.54+11931.6+74.36+936.52+116.34</f>
        <v>38290.859999999993</v>
      </c>
      <c r="D61" s="904"/>
      <c r="E61" s="904"/>
      <c r="F61" s="904"/>
      <c r="G61" s="904">
        <f t="shared" si="27"/>
        <v>0</v>
      </c>
    </row>
    <row r="62" spans="1:7" ht="15.75" x14ac:dyDescent="0.25">
      <c r="A62" s="308" t="s">
        <v>609</v>
      </c>
      <c r="B62" s="344">
        <f>296.79+945.95</f>
        <v>1242.74</v>
      </c>
      <c r="C62" s="342">
        <v>307.41000000000003</v>
      </c>
      <c r="D62" s="904">
        <v>500</v>
      </c>
      <c r="E62" s="904">
        <v>500</v>
      </c>
      <c r="F62" s="904"/>
      <c r="G62" s="904">
        <f t="shared" si="27"/>
        <v>500</v>
      </c>
    </row>
    <row r="63" spans="1:7" s="322" customFormat="1" ht="15.75" x14ac:dyDescent="0.25">
      <c r="A63" s="321" t="s">
        <v>66</v>
      </c>
      <c r="B63" s="640">
        <f t="shared" ref="B63:G63" si="28">SUM(B64:B104)</f>
        <v>6922444.6399999997</v>
      </c>
      <c r="C63" s="625">
        <f t="shared" si="28"/>
        <v>7286657.3899999987</v>
      </c>
      <c r="D63" s="906">
        <f t="shared" si="28"/>
        <v>8048950</v>
      </c>
      <c r="E63" s="906">
        <f t="shared" si="28"/>
        <v>8048950</v>
      </c>
      <c r="F63" s="906">
        <f t="shared" si="28"/>
        <v>1709128</v>
      </c>
      <c r="G63" s="906">
        <f t="shared" si="28"/>
        <v>9758078</v>
      </c>
    </row>
    <row r="64" spans="1:7" ht="15.75" x14ac:dyDescent="0.25">
      <c r="A64" s="308" t="s">
        <v>68</v>
      </c>
      <c r="B64" s="344">
        <v>33630.410000000003</v>
      </c>
      <c r="C64" s="626">
        <v>28466</v>
      </c>
      <c r="D64" s="904">
        <v>38000</v>
      </c>
      <c r="E64" s="904">
        <v>38000</v>
      </c>
      <c r="F64" s="904"/>
      <c r="G64" s="904">
        <f>E64+F64</f>
        <v>38000</v>
      </c>
    </row>
    <row r="65" spans="1:7" ht="15.75" x14ac:dyDescent="0.25">
      <c r="A65" s="308" t="s">
        <v>542</v>
      </c>
      <c r="B65" s="344">
        <v>1650</v>
      </c>
      <c r="C65" s="626"/>
      <c r="D65" s="904"/>
      <c r="E65" s="904"/>
      <c r="F65" s="904"/>
      <c r="G65" s="904">
        <f t="shared" ref="G65:G104" si="29">E65+F65</f>
        <v>0</v>
      </c>
    </row>
    <row r="66" spans="1:7" ht="15.75" x14ac:dyDescent="0.25">
      <c r="A66" s="308" t="s">
        <v>456</v>
      </c>
      <c r="B66" s="344">
        <v>1400</v>
      </c>
      <c r="C66" s="626">
        <v>1400</v>
      </c>
      <c r="D66" s="904">
        <v>1400</v>
      </c>
      <c r="E66" s="904">
        <v>1400</v>
      </c>
      <c r="F66" s="904"/>
      <c r="G66" s="904">
        <f t="shared" si="29"/>
        <v>1400</v>
      </c>
    </row>
    <row r="67" spans="1:7" ht="15.75" x14ac:dyDescent="0.25">
      <c r="A67" s="308" t="s">
        <v>455</v>
      </c>
      <c r="B67" s="344">
        <v>1300</v>
      </c>
      <c r="C67" s="626">
        <v>1914.05</v>
      </c>
      <c r="D67" s="904"/>
      <c r="E67" s="904"/>
      <c r="F67" s="904"/>
      <c r="G67" s="904">
        <f t="shared" si="29"/>
        <v>0</v>
      </c>
    </row>
    <row r="68" spans="1:7" ht="15.75" x14ac:dyDescent="0.25">
      <c r="A68" s="308" t="s">
        <v>645</v>
      </c>
      <c r="B68" s="344"/>
      <c r="C68" s="626">
        <v>232</v>
      </c>
      <c r="D68" s="904"/>
      <c r="E68" s="904"/>
      <c r="F68" s="904"/>
      <c r="G68" s="904">
        <f t="shared" si="29"/>
        <v>0</v>
      </c>
    </row>
    <row r="69" spans="1:7" ht="15.75" x14ac:dyDescent="0.25">
      <c r="A69" s="647" t="s">
        <v>443</v>
      </c>
      <c r="B69" s="344">
        <v>42250.28</v>
      </c>
      <c r="C69" s="626">
        <v>46639.4</v>
      </c>
      <c r="D69" s="904">
        <v>45000</v>
      </c>
      <c r="E69" s="904">
        <v>45000</v>
      </c>
      <c r="F69" s="904"/>
      <c r="G69" s="904">
        <f t="shared" si="29"/>
        <v>45000</v>
      </c>
    </row>
    <row r="70" spans="1:7" ht="15.75" x14ac:dyDescent="0.25">
      <c r="A70" s="647" t="s">
        <v>590</v>
      </c>
      <c r="B70" s="344">
        <v>24677.46</v>
      </c>
      <c r="C70" s="626"/>
      <c r="D70" s="904"/>
      <c r="E70" s="904"/>
      <c r="F70" s="904"/>
      <c r="G70" s="904">
        <f t="shared" si="29"/>
        <v>0</v>
      </c>
    </row>
    <row r="71" spans="1:7" ht="15.75" x14ac:dyDescent="0.25">
      <c r="A71" s="647" t="s">
        <v>553</v>
      </c>
      <c r="B71" s="344">
        <v>1699.2</v>
      </c>
      <c r="C71" s="626"/>
      <c r="D71" s="904">
        <v>9500</v>
      </c>
      <c r="E71" s="904">
        <v>9500</v>
      </c>
      <c r="F71" s="904"/>
      <c r="G71" s="904">
        <f t="shared" si="29"/>
        <v>9500</v>
      </c>
    </row>
    <row r="72" spans="1:7" ht="15.75" x14ac:dyDescent="0.25">
      <c r="A72" s="647" t="s">
        <v>592</v>
      </c>
      <c r="B72" s="651"/>
      <c r="C72" s="626"/>
      <c r="D72" s="904"/>
      <c r="E72" s="904"/>
      <c r="F72" s="904">
        <v>9875</v>
      </c>
      <c r="G72" s="904">
        <f t="shared" si="29"/>
        <v>9875</v>
      </c>
    </row>
    <row r="73" spans="1:7" ht="15.75" x14ac:dyDescent="0.25">
      <c r="A73" s="647" t="s">
        <v>685</v>
      </c>
      <c r="B73" s="651"/>
      <c r="C73" s="626"/>
      <c r="D73" s="904"/>
      <c r="E73" s="904"/>
      <c r="F73" s="904">
        <v>3000</v>
      </c>
      <c r="G73" s="904">
        <f t="shared" si="29"/>
        <v>3000</v>
      </c>
    </row>
    <row r="74" spans="1:7" ht="15.75" x14ac:dyDescent="0.25">
      <c r="A74" s="647" t="s">
        <v>684</v>
      </c>
      <c r="B74" s="651"/>
      <c r="C74" s="626"/>
      <c r="D74" s="904"/>
      <c r="E74" s="904"/>
      <c r="F74" s="904">
        <v>1310</v>
      </c>
      <c r="G74" s="904">
        <f t="shared" si="29"/>
        <v>1310</v>
      </c>
    </row>
    <row r="75" spans="1:7" ht="15.75" x14ac:dyDescent="0.25">
      <c r="A75" s="647" t="s">
        <v>686</v>
      </c>
      <c r="B75" s="651"/>
      <c r="C75" s="626"/>
      <c r="D75" s="904"/>
      <c r="E75" s="904"/>
      <c r="F75" s="904">
        <v>3318</v>
      </c>
      <c r="G75" s="904">
        <f t="shared" si="29"/>
        <v>3318</v>
      </c>
    </row>
    <row r="76" spans="1:7" ht="15.75" x14ac:dyDescent="0.25">
      <c r="A76" s="647" t="s">
        <v>659</v>
      </c>
      <c r="B76" s="651"/>
      <c r="C76" s="626"/>
      <c r="D76" s="904">
        <v>10800</v>
      </c>
      <c r="E76" s="904">
        <v>10800</v>
      </c>
      <c r="F76" s="904">
        <v>6350</v>
      </c>
      <c r="G76" s="904">
        <f t="shared" si="29"/>
        <v>17150</v>
      </c>
    </row>
    <row r="77" spans="1:7" ht="15.75" x14ac:dyDescent="0.25">
      <c r="A77" s="647" t="s">
        <v>660</v>
      </c>
      <c r="B77" s="651"/>
      <c r="C77" s="626"/>
      <c r="D77" s="904">
        <v>14700</v>
      </c>
      <c r="E77" s="904">
        <v>14700</v>
      </c>
      <c r="F77" s="904">
        <v>-1150</v>
      </c>
      <c r="G77" s="904">
        <f t="shared" si="29"/>
        <v>13550</v>
      </c>
    </row>
    <row r="78" spans="1:7" ht="15.75" x14ac:dyDescent="0.25">
      <c r="A78" s="647" t="s">
        <v>661</v>
      </c>
      <c r="B78" s="651"/>
      <c r="C78" s="626"/>
      <c r="D78" s="904">
        <v>640</v>
      </c>
      <c r="E78" s="904">
        <v>640</v>
      </c>
      <c r="F78" s="904"/>
      <c r="G78" s="904">
        <f t="shared" si="29"/>
        <v>640</v>
      </c>
    </row>
    <row r="79" spans="1:7" ht="15.75" x14ac:dyDescent="0.25">
      <c r="A79" s="647" t="s">
        <v>699</v>
      </c>
      <c r="B79" s="344"/>
      <c r="C79" s="626"/>
      <c r="D79" s="904"/>
      <c r="E79" s="904"/>
      <c r="F79" s="904">
        <v>397800</v>
      </c>
      <c r="G79" s="904">
        <f t="shared" si="29"/>
        <v>397800</v>
      </c>
    </row>
    <row r="80" spans="1:7" ht="15.75" x14ac:dyDescent="0.25">
      <c r="A80" s="308" t="s">
        <v>571</v>
      </c>
      <c r="B80" s="344">
        <v>5238.99</v>
      </c>
      <c r="C80" s="342">
        <v>4799.66</v>
      </c>
      <c r="D80" s="904">
        <v>8000</v>
      </c>
      <c r="E80" s="904">
        <v>8000</v>
      </c>
      <c r="F80" s="904"/>
      <c r="G80" s="904">
        <f t="shared" si="29"/>
        <v>8000</v>
      </c>
    </row>
    <row r="81" spans="1:7" ht="15.75" x14ac:dyDescent="0.25">
      <c r="A81" s="308" t="s">
        <v>572</v>
      </c>
      <c r="B81" s="344">
        <v>250254.62</v>
      </c>
      <c r="C81" s="342">
        <v>315655.39</v>
      </c>
      <c r="D81" s="904">
        <v>311110</v>
      </c>
      <c r="E81" s="904">
        <v>311110</v>
      </c>
      <c r="F81" s="904">
        <f>-16670+92400</f>
        <v>75730</v>
      </c>
      <c r="G81" s="904">
        <f t="shared" si="29"/>
        <v>386840</v>
      </c>
    </row>
    <row r="82" spans="1:7" ht="15.75" x14ac:dyDescent="0.25">
      <c r="A82" s="308" t="s">
        <v>573</v>
      </c>
      <c r="B82" s="344">
        <f>480840+42877.36</f>
        <v>523717.36</v>
      </c>
      <c r="C82" s="342">
        <v>560326.67000000004</v>
      </c>
      <c r="D82" s="904">
        <v>600000</v>
      </c>
      <c r="E82" s="904">
        <v>600000</v>
      </c>
      <c r="F82" s="904"/>
      <c r="G82" s="904">
        <f t="shared" si="29"/>
        <v>600000</v>
      </c>
    </row>
    <row r="83" spans="1:7" ht="15.75" x14ac:dyDescent="0.25">
      <c r="A83" s="308" t="s">
        <v>574</v>
      </c>
      <c r="B83" s="344">
        <v>19419</v>
      </c>
      <c r="C83" s="342">
        <v>21756.75</v>
      </c>
      <c r="D83" s="904">
        <v>19000</v>
      </c>
      <c r="E83" s="904">
        <v>19000</v>
      </c>
      <c r="F83" s="904"/>
      <c r="G83" s="904">
        <f t="shared" si="29"/>
        <v>19000</v>
      </c>
    </row>
    <row r="84" spans="1:7" ht="15.75" x14ac:dyDescent="0.25">
      <c r="A84" s="647" t="s">
        <v>575</v>
      </c>
      <c r="B84" s="344">
        <v>4740644</v>
      </c>
      <c r="C84" s="342">
        <v>4868285</v>
      </c>
      <c r="D84" s="904">
        <v>5800000</v>
      </c>
      <c r="E84" s="904">
        <v>5800000</v>
      </c>
      <c r="F84" s="904"/>
      <c r="G84" s="904">
        <f t="shared" si="29"/>
        <v>5800000</v>
      </c>
    </row>
    <row r="85" spans="1:7" ht="15.75" x14ac:dyDescent="0.25">
      <c r="A85" s="647" t="s">
        <v>576</v>
      </c>
      <c r="B85" s="344">
        <v>28104.61</v>
      </c>
      <c r="C85" s="342">
        <v>27817.01</v>
      </c>
      <c r="D85" s="904">
        <v>32000</v>
      </c>
      <c r="E85" s="904">
        <v>32000</v>
      </c>
      <c r="F85" s="904"/>
      <c r="G85" s="904">
        <f t="shared" si="29"/>
        <v>32000</v>
      </c>
    </row>
    <row r="86" spans="1:7" ht="15.75" x14ac:dyDescent="0.25">
      <c r="A86" s="647" t="s">
        <v>577</v>
      </c>
      <c r="B86" s="344">
        <v>11035.55</v>
      </c>
      <c r="C86" s="342">
        <v>10980.13</v>
      </c>
      <c r="D86" s="904">
        <v>11100</v>
      </c>
      <c r="E86" s="904">
        <v>11100</v>
      </c>
      <c r="F86" s="904">
        <v>500</v>
      </c>
      <c r="G86" s="904">
        <f t="shared" si="29"/>
        <v>11600</v>
      </c>
    </row>
    <row r="87" spans="1:7" ht="15.75" x14ac:dyDescent="0.25">
      <c r="A87" s="647" t="s">
        <v>578</v>
      </c>
      <c r="B87" s="344">
        <v>936.96</v>
      </c>
      <c r="C87" s="342">
        <v>927.81</v>
      </c>
      <c r="D87" s="904">
        <v>1000</v>
      </c>
      <c r="E87" s="904">
        <v>1000</v>
      </c>
      <c r="F87" s="904">
        <v>580</v>
      </c>
      <c r="G87" s="904">
        <f t="shared" si="29"/>
        <v>1580</v>
      </c>
    </row>
    <row r="88" spans="1:7" ht="15.75" x14ac:dyDescent="0.25">
      <c r="A88" s="647" t="s">
        <v>579</v>
      </c>
      <c r="B88" s="344">
        <v>2125.52</v>
      </c>
      <c r="C88" s="342">
        <v>2150.89</v>
      </c>
      <c r="D88" s="904">
        <v>2200</v>
      </c>
      <c r="E88" s="904">
        <v>2200</v>
      </c>
      <c r="F88" s="904">
        <v>105</v>
      </c>
      <c r="G88" s="904">
        <f t="shared" si="29"/>
        <v>2305</v>
      </c>
    </row>
    <row r="89" spans="1:7" ht="15.75" x14ac:dyDescent="0.25">
      <c r="A89" s="647" t="s">
        <v>580</v>
      </c>
      <c r="B89" s="344">
        <f>155.6+7157.37</f>
        <v>7312.97</v>
      </c>
      <c r="C89" s="342">
        <f>296.4+7087.41</f>
        <v>7383.8099999999995</v>
      </c>
      <c r="D89" s="904">
        <v>7500</v>
      </c>
      <c r="E89" s="904">
        <v>7500</v>
      </c>
      <c r="F89" s="904"/>
      <c r="G89" s="904">
        <f t="shared" si="29"/>
        <v>7500</v>
      </c>
    </row>
    <row r="90" spans="1:7" ht="15.75" x14ac:dyDescent="0.25">
      <c r="A90" s="647" t="s">
        <v>581</v>
      </c>
      <c r="B90" s="344">
        <v>36976</v>
      </c>
      <c r="C90" s="342">
        <v>37964</v>
      </c>
      <c r="D90" s="904">
        <v>38000</v>
      </c>
      <c r="E90" s="904">
        <v>38000</v>
      </c>
      <c r="F90" s="904">
        <v>3000</v>
      </c>
      <c r="G90" s="904">
        <f t="shared" si="29"/>
        <v>41000</v>
      </c>
    </row>
    <row r="91" spans="1:7" ht="15.75" x14ac:dyDescent="0.25">
      <c r="A91" s="647" t="s">
        <v>582</v>
      </c>
      <c r="B91" s="344">
        <v>720181</v>
      </c>
      <c r="C91" s="342">
        <v>663244.23</v>
      </c>
      <c r="D91" s="904">
        <v>555000</v>
      </c>
      <c r="E91" s="904">
        <v>555000</v>
      </c>
      <c r="F91" s="904">
        <f>199500+468300</f>
        <v>667800</v>
      </c>
      <c r="G91" s="904">
        <f t="shared" si="29"/>
        <v>1222800</v>
      </c>
    </row>
    <row r="92" spans="1:7" ht="15.75" x14ac:dyDescent="0.25">
      <c r="A92" s="647" t="s">
        <v>610</v>
      </c>
      <c r="B92" s="344">
        <f>149460.89+8296.52+28397.6+0+10123.48+6364.09+0+0+0+0+0+0+0+91631.46</f>
        <v>294274.04000000004</v>
      </c>
      <c r="C92" s="342">
        <f>1300+1500+12175.03+1700+277.32+4870+1500+550+84532.29+36236.85+55973.85+76622.55+46577.14</f>
        <v>323815.03000000003</v>
      </c>
      <c r="D92" s="904">
        <v>350000</v>
      </c>
      <c r="E92" s="904">
        <v>350000</v>
      </c>
      <c r="F92" s="904">
        <f>-7500+2400+2115+10000+600+5000+18300+2520+4700+6865</f>
        <v>45000</v>
      </c>
      <c r="G92" s="904">
        <f t="shared" si="29"/>
        <v>395000</v>
      </c>
    </row>
    <row r="93" spans="1:7" ht="15.75" x14ac:dyDescent="0.25">
      <c r="A93" s="647" t="s">
        <v>596</v>
      </c>
      <c r="B93" s="344"/>
      <c r="C93" s="342">
        <v>4200</v>
      </c>
      <c r="D93" s="904">
        <v>4000</v>
      </c>
      <c r="E93" s="904">
        <v>4000</v>
      </c>
      <c r="F93" s="904"/>
      <c r="G93" s="904">
        <f t="shared" si="29"/>
        <v>4000</v>
      </c>
    </row>
    <row r="94" spans="1:7" ht="15.75" x14ac:dyDescent="0.25">
      <c r="A94" s="647" t="s">
        <v>650</v>
      </c>
      <c r="B94" s="344"/>
      <c r="C94" s="342">
        <v>204287.65</v>
      </c>
      <c r="D94" s="904">
        <v>100000</v>
      </c>
      <c r="E94" s="904">
        <v>100000</v>
      </c>
      <c r="F94" s="904">
        <v>450000</v>
      </c>
      <c r="G94" s="904">
        <f t="shared" si="29"/>
        <v>550000</v>
      </c>
    </row>
    <row r="95" spans="1:7" ht="15.75" x14ac:dyDescent="0.25">
      <c r="A95" s="647" t="s">
        <v>601</v>
      </c>
      <c r="B95" s="344">
        <v>672.6</v>
      </c>
      <c r="C95" s="527">
        <v>228</v>
      </c>
      <c r="D95" s="904"/>
      <c r="E95" s="904"/>
      <c r="F95" s="904"/>
      <c r="G95" s="904">
        <f t="shared" si="29"/>
        <v>0</v>
      </c>
    </row>
    <row r="96" spans="1:7" ht="15.75" x14ac:dyDescent="0.25">
      <c r="A96" s="647" t="s">
        <v>617</v>
      </c>
      <c r="B96" s="344">
        <v>7500</v>
      </c>
      <c r="C96" s="527"/>
      <c r="D96" s="904"/>
      <c r="E96" s="904"/>
      <c r="F96" s="904"/>
      <c r="G96" s="904">
        <f t="shared" si="29"/>
        <v>0</v>
      </c>
    </row>
    <row r="97" spans="1:7" ht="15.75" x14ac:dyDescent="0.25">
      <c r="A97" s="647" t="s">
        <v>583</v>
      </c>
      <c r="B97" s="344"/>
      <c r="C97" s="527"/>
      <c r="D97" s="904">
        <v>3400</v>
      </c>
      <c r="E97" s="904">
        <v>3400</v>
      </c>
      <c r="F97" s="904"/>
      <c r="G97" s="904">
        <f t="shared" si="29"/>
        <v>3400</v>
      </c>
    </row>
    <row r="98" spans="1:7" ht="15" customHeight="1" x14ac:dyDescent="0.25">
      <c r="A98" s="647" t="s">
        <v>584</v>
      </c>
      <c r="B98" s="344"/>
      <c r="C98" s="527">
        <v>21100</v>
      </c>
      <c r="D98" s="904">
        <v>21600</v>
      </c>
      <c r="E98" s="904">
        <v>21600</v>
      </c>
      <c r="F98" s="904">
        <v>19400</v>
      </c>
      <c r="G98" s="904">
        <f t="shared" si="29"/>
        <v>41000</v>
      </c>
    </row>
    <row r="99" spans="1:7" ht="15" customHeight="1" x14ac:dyDescent="0.25">
      <c r="A99" s="647" t="s">
        <v>585</v>
      </c>
      <c r="B99" s="344"/>
      <c r="C99" s="527"/>
      <c r="D99" s="904">
        <v>10000</v>
      </c>
      <c r="E99" s="904">
        <v>10000</v>
      </c>
      <c r="F99" s="904"/>
      <c r="G99" s="904">
        <f t="shared" si="29"/>
        <v>10000</v>
      </c>
    </row>
    <row r="100" spans="1:7" ht="15.75" x14ac:dyDescent="0.25">
      <c r="A100" s="647" t="s">
        <v>665</v>
      </c>
      <c r="B100" s="344">
        <v>9296</v>
      </c>
      <c r="C100" s="342">
        <v>8200</v>
      </c>
      <c r="D100" s="904"/>
      <c r="E100" s="904"/>
      <c r="F100" s="904"/>
      <c r="G100" s="904">
        <f t="shared" si="29"/>
        <v>0</v>
      </c>
    </row>
    <row r="101" spans="1:7" ht="15.75" x14ac:dyDescent="0.25">
      <c r="A101" s="647" t="s">
        <v>614</v>
      </c>
      <c r="B101" s="344">
        <v>27102.42</v>
      </c>
      <c r="C101" s="342">
        <v>41619.269999999997</v>
      </c>
      <c r="D101" s="904"/>
      <c r="E101" s="904"/>
      <c r="F101" s="904">
        <v>30000</v>
      </c>
      <c r="G101" s="904">
        <f t="shared" si="29"/>
        <v>30000</v>
      </c>
    </row>
    <row r="102" spans="1:7" ht="15.75" x14ac:dyDescent="0.25">
      <c r="A102" s="647" t="s">
        <v>593</v>
      </c>
      <c r="B102" s="344">
        <v>91530</v>
      </c>
      <c r="C102" s="342">
        <v>1337</v>
      </c>
      <c r="D102" s="904">
        <v>5000</v>
      </c>
      <c r="E102" s="904">
        <v>5000</v>
      </c>
      <c r="F102" s="904"/>
      <c r="G102" s="904">
        <f t="shared" si="29"/>
        <v>5000</v>
      </c>
    </row>
    <row r="103" spans="1:7" ht="15.75" x14ac:dyDescent="0.25">
      <c r="A103" s="647" t="s">
        <v>586</v>
      </c>
      <c r="B103" s="344">
        <v>36195.65</v>
      </c>
      <c r="C103" s="342">
        <v>77447.64</v>
      </c>
      <c r="D103" s="904">
        <v>45000</v>
      </c>
      <c r="E103" s="904">
        <v>45000</v>
      </c>
      <c r="F103" s="904"/>
      <c r="G103" s="904">
        <f t="shared" si="29"/>
        <v>45000</v>
      </c>
    </row>
    <row r="104" spans="1:7" ht="16.5" thickBot="1" x14ac:dyDescent="0.3">
      <c r="A104" s="647" t="s">
        <v>587</v>
      </c>
      <c r="B104" s="344">
        <v>3320</v>
      </c>
      <c r="C104" s="342">
        <v>4480</v>
      </c>
      <c r="D104" s="904">
        <v>5000</v>
      </c>
      <c r="E104" s="904">
        <v>5000</v>
      </c>
      <c r="F104" s="904">
        <v>-3490</v>
      </c>
      <c r="G104" s="904">
        <f t="shared" si="29"/>
        <v>1510</v>
      </c>
    </row>
    <row r="105" spans="1:7" ht="18.75" thickBot="1" x14ac:dyDescent="0.3">
      <c r="A105" s="310" t="s">
        <v>408</v>
      </c>
      <c r="B105" s="641">
        <f t="shared" ref="B105" si="30">B106+B110</f>
        <v>844958.95</v>
      </c>
      <c r="C105" s="627">
        <f t="shared" ref="C105:E105" si="31">C106+C110</f>
        <v>536086.52</v>
      </c>
      <c r="D105" s="907">
        <f t="shared" si="31"/>
        <v>6885615</v>
      </c>
      <c r="E105" s="907">
        <f t="shared" si="31"/>
        <v>6885615</v>
      </c>
      <c r="F105" s="907">
        <f t="shared" ref="F105" si="32">F106+F110</f>
        <v>-14518</v>
      </c>
      <c r="G105" s="907">
        <f t="shared" ref="G105" si="33">G106+G110</f>
        <v>6871097</v>
      </c>
    </row>
    <row r="106" spans="1:7" ht="18.75" thickBot="1" x14ac:dyDescent="0.3">
      <c r="A106" s="320" t="s">
        <v>111</v>
      </c>
      <c r="B106" s="343">
        <f t="shared" ref="B106" si="34">SUM(B107:B109)</f>
        <v>150794.21</v>
      </c>
      <c r="C106" s="595">
        <f t="shared" ref="C106:E106" si="35">SUM(C107:C109)</f>
        <v>99475.790000000008</v>
      </c>
      <c r="D106" s="908">
        <f t="shared" si="35"/>
        <v>45000</v>
      </c>
      <c r="E106" s="908">
        <f t="shared" si="35"/>
        <v>45000</v>
      </c>
      <c r="F106" s="908">
        <f t="shared" ref="F106" si="36">SUM(F107:F109)</f>
        <v>-30000</v>
      </c>
      <c r="G106" s="908">
        <f t="shared" ref="G106" si="37">SUM(G107:G109)</f>
        <v>15000</v>
      </c>
    </row>
    <row r="107" spans="1:7" ht="15.75" x14ac:dyDescent="0.25">
      <c r="A107" s="648" t="s">
        <v>554</v>
      </c>
      <c r="B107" s="344">
        <v>52172.73</v>
      </c>
      <c r="C107" s="626">
        <v>56122.93</v>
      </c>
      <c r="D107" s="909">
        <v>10000</v>
      </c>
      <c r="E107" s="909">
        <v>10000</v>
      </c>
      <c r="F107" s="909">
        <v>-5000</v>
      </c>
      <c r="G107" s="909">
        <f>E107+F107</f>
        <v>5000</v>
      </c>
    </row>
    <row r="108" spans="1:7" ht="15.75" x14ac:dyDescent="0.25">
      <c r="A108" s="648" t="s">
        <v>114</v>
      </c>
      <c r="B108" s="344">
        <v>1</v>
      </c>
      <c r="C108" s="626"/>
      <c r="D108" s="909"/>
      <c r="E108" s="909"/>
      <c r="F108" s="909"/>
      <c r="G108" s="909">
        <f t="shared" ref="G108:G109" si="38">E108+F108</f>
        <v>0</v>
      </c>
    </row>
    <row r="109" spans="1:7" ht="16.5" thickBot="1" x14ac:dyDescent="0.3">
      <c r="A109" s="649" t="s">
        <v>115</v>
      </c>
      <c r="B109" s="345">
        <v>98620.479999999996</v>
      </c>
      <c r="C109" s="628">
        <v>43352.86</v>
      </c>
      <c r="D109" s="913">
        <v>35000</v>
      </c>
      <c r="E109" s="913">
        <v>35000</v>
      </c>
      <c r="F109" s="913">
        <v>-25000</v>
      </c>
      <c r="G109" s="909">
        <f t="shared" si="38"/>
        <v>10000</v>
      </c>
    </row>
    <row r="110" spans="1:7" ht="18.75" thickBot="1" x14ac:dyDescent="0.3">
      <c r="A110" s="311" t="s">
        <v>116</v>
      </c>
      <c r="B110" s="346">
        <f t="shared" ref="B110:G110" si="39">SUM(B111:B122)</f>
        <v>694164.74</v>
      </c>
      <c r="C110" s="596">
        <f t="shared" si="39"/>
        <v>436610.73</v>
      </c>
      <c r="D110" s="914">
        <f t="shared" si="39"/>
        <v>6840615</v>
      </c>
      <c r="E110" s="914">
        <f t="shared" si="39"/>
        <v>6840615</v>
      </c>
      <c r="F110" s="914">
        <f t="shared" si="39"/>
        <v>15482</v>
      </c>
      <c r="G110" s="908">
        <f t="shared" si="39"/>
        <v>6856097</v>
      </c>
    </row>
    <row r="111" spans="1:7" ht="15.75" x14ac:dyDescent="0.25">
      <c r="A111" s="308" t="s">
        <v>602</v>
      </c>
      <c r="B111" s="344">
        <v>170062.8</v>
      </c>
      <c r="C111" s="626">
        <v>61740.12</v>
      </c>
      <c r="D111" s="904">
        <v>615000</v>
      </c>
      <c r="E111" s="904">
        <v>615000</v>
      </c>
      <c r="F111" s="904"/>
      <c r="G111" s="904">
        <f t="shared" ref="G111:G122" si="40">E111+F111</f>
        <v>615000</v>
      </c>
    </row>
    <row r="112" spans="1:7" ht="15.75" x14ac:dyDescent="0.25">
      <c r="A112" s="308" t="s">
        <v>569</v>
      </c>
      <c r="B112" s="344">
        <v>413301.94</v>
      </c>
      <c r="C112" s="626">
        <v>361402.61</v>
      </c>
      <c r="D112" s="904"/>
      <c r="E112" s="904"/>
      <c r="F112" s="904"/>
      <c r="G112" s="904">
        <f t="shared" si="40"/>
        <v>0</v>
      </c>
    </row>
    <row r="113" spans="1:7" ht="15.75" x14ac:dyDescent="0.25">
      <c r="A113" s="308" t="s">
        <v>603</v>
      </c>
      <c r="B113" s="344">
        <v>33300</v>
      </c>
      <c r="C113" s="626">
        <v>3700</v>
      </c>
      <c r="D113" s="904"/>
      <c r="E113" s="904"/>
      <c r="F113" s="904"/>
      <c r="G113" s="904">
        <f t="shared" si="40"/>
        <v>0</v>
      </c>
    </row>
    <row r="114" spans="1:7" ht="15.75" x14ac:dyDescent="0.25">
      <c r="A114" s="308" t="s">
        <v>651</v>
      </c>
      <c r="B114" s="344">
        <v>33000</v>
      </c>
      <c r="C114" s="626"/>
      <c r="D114" s="904"/>
      <c r="E114" s="904"/>
      <c r="F114" s="904"/>
      <c r="G114" s="904">
        <f t="shared" si="40"/>
        <v>0</v>
      </c>
    </row>
    <row r="115" spans="1:7" ht="15.75" x14ac:dyDescent="0.25">
      <c r="A115" s="308" t="s">
        <v>622</v>
      </c>
      <c r="B115" s="651"/>
      <c r="C115" s="626"/>
      <c r="D115" s="904">
        <v>5473425</v>
      </c>
      <c r="E115" s="904">
        <v>5473425</v>
      </c>
      <c r="F115" s="904"/>
      <c r="G115" s="904">
        <f t="shared" si="40"/>
        <v>5473425</v>
      </c>
    </row>
    <row r="116" spans="1:7" ht="15.75" x14ac:dyDescent="0.25">
      <c r="A116" s="308" t="s">
        <v>652</v>
      </c>
      <c r="B116" s="651"/>
      <c r="C116" s="626"/>
      <c r="D116" s="904">
        <v>141150</v>
      </c>
      <c r="E116" s="904">
        <v>141150</v>
      </c>
      <c r="F116" s="904">
        <v>-9300</v>
      </c>
      <c r="G116" s="904">
        <f t="shared" si="40"/>
        <v>131850</v>
      </c>
    </row>
    <row r="117" spans="1:7" ht="15.75" x14ac:dyDescent="0.25">
      <c r="A117" s="308" t="s">
        <v>623</v>
      </c>
      <c r="B117" s="344"/>
      <c r="C117" s="626"/>
      <c r="D117" s="904">
        <v>611040</v>
      </c>
      <c r="E117" s="904">
        <v>611040</v>
      </c>
      <c r="F117" s="904"/>
      <c r="G117" s="904">
        <f t="shared" si="40"/>
        <v>611040</v>
      </c>
    </row>
    <row r="118" spans="1:7" ht="15.75" x14ac:dyDescent="0.25">
      <c r="A118" s="308" t="s">
        <v>591</v>
      </c>
      <c r="B118" s="344"/>
      <c r="C118" s="626"/>
      <c r="D118" s="904"/>
      <c r="E118" s="904"/>
      <c r="F118" s="904">
        <v>9900</v>
      </c>
      <c r="G118" s="904">
        <f t="shared" si="40"/>
        <v>9900</v>
      </c>
    </row>
    <row r="119" spans="1:7" ht="15.75" x14ac:dyDescent="0.25">
      <c r="A119" s="308" t="s">
        <v>687</v>
      </c>
      <c r="B119" s="344"/>
      <c r="C119" s="626"/>
      <c r="D119" s="904"/>
      <c r="E119" s="904"/>
      <c r="F119" s="904">
        <v>3882</v>
      </c>
      <c r="G119" s="904">
        <f t="shared" si="40"/>
        <v>3882</v>
      </c>
    </row>
    <row r="120" spans="1:7" ht="15.75" x14ac:dyDescent="0.25">
      <c r="A120" s="308" t="s">
        <v>700</v>
      </c>
      <c r="B120" s="344"/>
      <c r="C120" s="626"/>
      <c r="D120" s="904"/>
      <c r="E120" s="904"/>
      <c r="F120" s="904">
        <v>11000</v>
      </c>
      <c r="G120" s="904">
        <f t="shared" si="40"/>
        <v>11000</v>
      </c>
    </row>
    <row r="121" spans="1:7" ht="15.75" x14ac:dyDescent="0.25">
      <c r="A121" s="308" t="s">
        <v>666</v>
      </c>
      <c r="B121" s="344">
        <v>10000</v>
      </c>
      <c r="C121" s="626">
        <v>9768</v>
      </c>
      <c r="D121" s="904"/>
      <c r="E121" s="904"/>
      <c r="F121" s="904"/>
      <c r="G121" s="904">
        <f t="shared" si="40"/>
        <v>0</v>
      </c>
    </row>
    <row r="122" spans="1:7" ht="16.5" thickBot="1" x14ac:dyDescent="0.3">
      <c r="A122" s="308" t="s">
        <v>618</v>
      </c>
      <c r="B122" s="344">
        <v>34500</v>
      </c>
      <c r="C122" s="626"/>
      <c r="D122" s="904"/>
      <c r="E122" s="904"/>
      <c r="F122" s="904"/>
      <c r="G122" s="904">
        <f t="shared" si="40"/>
        <v>0</v>
      </c>
    </row>
    <row r="123" spans="1:7" ht="18.75" thickBot="1" x14ac:dyDescent="0.3">
      <c r="A123" s="252" t="s">
        <v>399</v>
      </c>
      <c r="B123" s="597">
        <f t="shared" ref="B123:G123" si="41">SUM(B124:B131)</f>
        <v>2210581.17</v>
      </c>
      <c r="C123" s="621">
        <f t="shared" si="41"/>
        <v>4281692.7700000005</v>
      </c>
      <c r="D123" s="898">
        <f t="shared" si="41"/>
        <v>2343630</v>
      </c>
      <c r="E123" s="898">
        <f t="shared" si="41"/>
        <v>2343630</v>
      </c>
      <c r="F123" s="898">
        <f t="shared" si="41"/>
        <v>133602</v>
      </c>
      <c r="G123" s="898">
        <f t="shared" si="41"/>
        <v>2477232</v>
      </c>
    </row>
    <row r="124" spans="1:7" s="643" customFormat="1" ht="15.75" x14ac:dyDescent="0.25">
      <c r="A124" s="308" t="s">
        <v>464</v>
      </c>
      <c r="B124" s="344">
        <v>758028.73</v>
      </c>
      <c r="C124" s="342">
        <v>1894549.14</v>
      </c>
      <c r="D124" s="904">
        <v>34630</v>
      </c>
      <c r="E124" s="904">
        <v>34630</v>
      </c>
      <c r="F124" s="904">
        <v>458000</v>
      </c>
      <c r="G124" s="904">
        <f>E124+F124</f>
        <v>492630</v>
      </c>
    </row>
    <row r="125" spans="1:7" ht="15.75" x14ac:dyDescent="0.25">
      <c r="A125" s="308" t="s">
        <v>547</v>
      </c>
      <c r="B125" s="344"/>
      <c r="C125" s="342"/>
      <c r="D125" s="904">
        <v>20000</v>
      </c>
      <c r="E125" s="904">
        <v>20000</v>
      </c>
      <c r="F125" s="904"/>
      <c r="G125" s="904">
        <f t="shared" ref="G125:G131" si="42">E125+F125</f>
        <v>20000</v>
      </c>
    </row>
    <row r="126" spans="1:7" ht="15.75" x14ac:dyDescent="0.25">
      <c r="A126" s="308" t="s">
        <v>466</v>
      </c>
      <c r="B126" s="344"/>
      <c r="C126" s="342"/>
      <c r="D126" s="904">
        <v>350000</v>
      </c>
      <c r="E126" s="904">
        <v>350000</v>
      </c>
      <c r="F126" s="904">
        <v>-350000</v>
      </c>
      <c r="G126" s="904">
        <f t="shared" si="42"/>
        <v>0</v>
      </c>
    </row>
    <row r="127" spans="1:7" s="643" customFormat="1" ht="15.75" x14ac:dyDescent="0.25">
      <c r="A127" s="308" t="s">
        <v>465</v>
      </c>
      <c r="B127" s="344">
        <f>56758.43+8554.99+204534.53+22878.49+3682.33</f>
        <v>296408.77</v>
      </c>
      <c r="C127" s="342">
        <f>45573.49+1075000+400338.47+1567.34+184.46+1650+144553.35+25509.45</f>
        <v>1694376.56</v>
      </c>
      <c r="D127" s="904">
        <v>34500</v>
      </c>
      <c r="E127" s="904">
        <v>34500</v>
      </c>
      <c r="F127" s="904">
        <v>250602</v>
      </c>
      <c r="G127" s="904">
        <f t="shared" si="42"/>
        <v>285102</v>
      </c>
    </row>
    <row r="128" spans="1:7" ht="15.75" x14ac:dyDescent="0.25">
      <c r="A128" s="308" t="s">
        <v>543</v>
      </c>
      <c r="B128" s="344">
        <v>12157.19</v>
      </c>
      <c r="C128" s="342">
        <v>15158.98</v>
      </c>
      <c r="D128" s="904"/>
      <c r="E128" s="904"/>
      <c r="F128" s="904"/>
      <c r="G128" s="904">
        <f t="shared" si="42"/>
        <v>0</v>
      </c>
    </row>
    <row r="129" spans="1:7" ht="15.75" x14ac:dyDescent="0.25">
      <c r="A129" s="308" t="s">
        <v>653</v>
      </c>
      <c r="B129" s="344"/>
      <c r="C129" s="342">
        <v>13204</v>
      </c>
      <c r="D129" s="904"/>
      <c r="E129" s="904"/>
      <c r="F129" s="904"/>
      <c r="G129" s="904">
        <f t="shared" si="42"/>
        <v>0</v>
      </c>
    </row>
    <row r="130" spans="1:7" ht="15.75" x14ac:dyDescent="0.25">
      <c r="A130" s="308" t="s">
        <v>646</v>
      </c>
      <c r="B130" s="344">
        <v>318826.89</v>
      </c>
      <c r="C130" s="342"/>
      <c r="D130" s="904">
        <v>500000</v>
      </c>
      <c r="E130" s="904">
        <v>500000</v>
      </c>
      <c r="F130" s="904"/>
      <c r="G130" s="904">
        <f t="shared" si="42"/>
        <v>500000</v>
      </c>
    </row>
    <row r="131" spans="1:7" ht="16.5" thickBot="1" x14ac:dyDescent="0.3">
      <c r="A131" s="308" t="s">
        <v>129</v>
      </c>
      <c r="B131" s="642">
        <v>825159.59</v>
      </c>
      <c r="C131" s="590">
        <v>664404.09</v>
      </c>
      <c r="D131" s="915">
        <v>1404500</v>
      </c>
      <c r="E131" s="915">
        <v>1404500</v>
      </c>
      <c r="F131" s="915">
        <v>-225000</v>
      </c>
      <c r="G131" s="904">
        <f t="shared" si="42"/>
        <v>1179500</v>
      </c>
    </row>
    <row r="132" spans="1:7" ht="24" thickBot="1" x14ac:dyDescent="0.4">
      <c r="A132" s="312" t="s">
        <v>130</v>
      </c>
      <c r="B132" s="598">
        <f t="shared" ref="B132:G132" si="43">B123+B105+B3</f>
        <v>23444901.140000001</v>
      </c>
      <c r="C132" s="634">
        <f t="shared" si="43"/>
        <v>26973903.57</v>
      </c>
      <c r="D132" s="910">
        <f t="shared" si="43"/>
        <v>33938795</v>
      </c>
      <c r="E132" s="910">
        <f t="shared" si="43"/>
        <v>33938795</v>
      </c>
      <c r="F132" s="910">
        <f t="shared" si="43"/>
        <v>1756812</v>
      </c>
      <c r="G132" s="910">
        <f t="shared" si="43"/>
        <v>35695607</v>
      </c>
    </row>
    <row r="133" spans="1:7" ht="15.75" x14ac:dyDescent="0.25">
      <c r="A133" s="313"/>
    </row>
  </sheetData>
  <sheetProtection selectLockedCells="1" selectUnlockedCells="1"/>
  <mergeCells count="1">
    <mergeCell ref="A1:F1"/>
  </mergeCells>
  <phoneticPr fontId="0" type="noConversion"/>
  <pageMargins left="1.1811023622047245" right="0" top="0" bottom="0" header="0.51181102362204722" footer="0.51181102362204722"/>
  <pageSetup paperSize="8" scale="55" firstPageNumber="0" fitToHeight="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1"/>
  <sheetViews>
    <sheetView topLeftCell="B1" zoomScale="80" zoomScaleNormal="80" workbookViewId="0">
      <pane xSplit="2" ySplit="7" topLeftCell="F89" activePane="bottomRight" state="frozen"/>
      <selection activeCell="B1" sqref="B1"/>
      <selection pane="topRight" activeCell="T1" sqref="T1"/>
      <selection pane="bottomLeft" activeCell="B163" sqref="B163"/>
      <selection pane="bottomRight" activeCell="X95" sqref="X95"/>
    </sheetView>
  </sheetViews>
  <sheetFormatPr defaultRowHeight="12.75" outlineLevelRow="1" x14ac:dyDescent="0.2"/>
  <cols>
    <col min="1" max="1" width="0" style="101" hidden="1" customWidth="1"/>
    <col min="2" max="2" width="18.85546875" style="101" customWidth="1"/>
    <col min="3" max="3" width="32.7109375" style="101" customWidth="1"/>
    <col min="4" max="11" width="12.7109375" style="101" customWidth="1"/>
    <col min="12" max="19" width="12.7109375" style="609" customWidth="1"/>
    <col min="20" max="21" width="12.7109375" style="609" bestFit="1" customWidth="1"/>
    <col min="22" max="23" width="11.42578125" style="609" bestFit="1" customWidth="1"/>
    <col min="24" max="25" width="12.7109375" style="609" bestFit="1" customWidth="1"/>
    <col min="26" max="27" width="11.42578125" style="609" bestFit="1" customWidth="1"/>
    <col min="28" max="16384" width="9.140625" style="101"/>
  </cols>
  <sheetData>
    <row r="1" spans="1:27" ht="27.75" customHeight="1" x14ac:dyDescent="0.2">
      <c r="A1" s="121"/>
      <c r="B1" s="689" t="s">
        <v>703</v>
      </c>
      <c r="C1" s="689"/>
      <c r="D1" s="689"/>
      <c r="E1" s="689"/>
      <c r="F1" s="689"/>
      <c r="G1" s="689"/>
      <c r="H1" s="689"/>
      <c r="I1" s="689"/>
      <c r="J1" s="689"/>
      <c r="K1" s="689"/>
      <c r="L1" s="689"/>
      <c r="M1" s="689"/>
      <c r="N1" s="689"/>
      <c r="O1" s="689"/>
      <c r="P1" s="689"/>
      <c r="Q1" s="689"/>
      <c r="R1" s="689"/>
      <c r="S1" s="689"/>
      <c r="T1" s="689"/>
      <c r="U1" s="689"/>
      <c r="V1" s="689"/>
      <c r="W1" s="689"/>
      <c r="X1" s="689"/>
      <c r="Y1" s="689"/>
      <c r="Z1" s="689"/>
      <c r="AA1" s="689"/>
    </row>
    <row r="2" spans="1:27" ht="7.5" customHeight="1" thickBot="1" x14ac:dyDescent="0.25">
      <c r="A2" s="121"/>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row>
    <row r="3" spans="1:27" ht="13.5" customHeight="1" thickBot="1" x14ac:dyDescent="0.25">
      <c r="A3" s="121"/>
      <c r="D3" s="700" t="s">
        <v>599</v>
      </c>
      <c r="E3" s="701"/>
      <c r="F3" s="701"/>
      <c r="G3" s="702"/>
      <c r="H3" s="700" t="s">
        <v>648</v>
      </c>
      <c r="I3" s="701"/>
      <c r="J3" s="701"/>
      <c r="K3" s="702"/>
      <c r="L3" s="690" t="s">
        <v>676</v>
      </c>
      <c r="M3" s="691"/>
      <c r="N3" s="691"/>
      <c r="O3" s="691"/>
      <c r="P3" s="690" t="s">
        <v>683</v>
      </c>
      <c r="Q3" s="691"/>
      <c r="R3" s="691"/>
      <c r="S3" s="691"/>
      <c r="T3" s="690" t="s">
        <v>679</v>
      </c>
      <c r="U3" s="691"/>
      <c r="V3" s="691"/>
      <c r="W3" s="692"/>
      <c r="X3" s="690" t="s">
        <v>680</v>
      </c>
      <c r="Y3" s="691"/>
      <c r="Z3" s="691"/>
      <c r="AA3" s="692"/>
    </row>
    <row r="4" spans="1:27" ht="21" customHeight="1" thickBot="1" x14ac:dyDescent="0.25">
      <c r="A4" s="121"/>
      <c r="B4" s="696" t="s">
        <v>406</v>
      </c>
      <c r="C4" s="697"/>
      <c r="D4" s="703"/>
      <c r="E4" s="704"/>
      <c r="F4" s="704"/>
      <c r="G4" s="705"/>
      <c r="H4" s="703"/>
      <c r="I4" s="704"/>
      <c r="J4" s="704"/>
      <c r="K4" s="705"/>
      <c r="L4" s="693"/>
      <c r="M4" s="694"/>
      <c r="N4" s="694"/>
      <c r="O4" s="694"/>
      <c r="P4" s="693"/>
      <c r="Q4" s="694"/>
      <c r="R4" s="694"/>
      <c r="S4" s="694"/>
      <c r="T4" s="693"/>
      <c r="U4" s="694"/>
      <c r="V4" s="694"/>
      <c r="W4" s="695"/>
      <c r="X4" s="693"/>
      <c r="Y4" s="694"/>
      <c r="Z4" s="694"/>
      <c r="AA4" s="695"/>
    </row>
    <row r="5" spans="1:27" ht="24.75" thickBot="1" x14ac:dyDescent="0.25">
      <c r="A5" s="121"/>
      <c r="B5" s="698"/>
      <c r="C5" s="699"/>
      <c r="D5" s="602" t="s">
        <v>396</v>
      </c>
      <c r="E5" s="603" t="s">
        <v>409</v>
      </c>
      <c r="F5" s="603" t="s">
        <v>410</v>
      </c>
      <c r="G5" s="604" t="s">
        <v>401</v>
      </c>
      <c r="H5" s="592" t="s">
        <v>396</v>
      </c>
      <c r="I5" s="593" t="s">
        <v>409</v>
      </c>
      <c r="J5" s="593" t="s">
        <v>410</v>
      </c>
      <c r="K5" s="594" t="s">
        <v>401</v>
      </c>
      <c r="L5" s="593" t="s">
        <v>396</v>
      </c>
      <c r="M5" s="593" t="s">
        <v>409</v>
      </c>
      <c r="N5" s="593" t="s">
        <v>410</v>
      </c>
      <c r="O5" s="605" t="s">
        <v>401</v>
      </c>
      <c r="P5" s="592" t="s">
        <v>396</v>
      </c>
      <c r="Q5" s="593" t="s">
        <v>409</v>
      </c>
      <c r="R5" s="593" t="s">
        <v>410</v>
      </c>
      <c r="S5" s="605" t="s">
        <v>401</v>
      </c>
      <c r="T5" s="592" t="s">
        <v>396</v>
      </c>
      <c r="U5" s="593" t="s">
        <v>409</v>
      </c>
      <c r="V5" s="593" t="s">
        <v>410</v>
      </c>
      <c r="W5" s="594" t="s">
        <v>401</v>
      </c>
      <c r="X5" s="592" t="s">
        <v>396</v>
      </c>
      <c r="Y5" s="593" t="s">
        <v>409</v>
      </c>
      <c r="Z5" s="593" t="s">
        <v>410</v>
      </c>
      <c r="AA5" s="594" t="s">
        <v>401</v>
      </c>
    </row>
    <row r="6" spans="1:27" ht="24" customHeight="1" thickBot="1" x14ac:dyDescent="0.3">
      <c r="A6" s="121"/>
      <c r="B6" s="385" t="s">
        <v>147</v>
      </c>
      <c r="C6" s="386"/>
      <c r="D6" s="332">
        <f t="shared" ref="D6:G6" si="0">D8+D22+D36+D46+D52+D68+D76+D91+D95+D120+D131+D140+D152+D178+D179</f>
        <v>21754762.269999996</v>
      </c>
      <c r="E6" s="606">
        <f>E8+E22+E36+E46+E52+E68+E76+E91+E95+E120+E131+E140+E152+E178+E179</f>
        <v>19076711.210000001</v>
      </c>
      <c r="F6" s="606">
        <f t="shared" si="0"/>
        <v>2465491.37</v>
      </c>
      <c r="G6" s="384">
        <f t="shared" si="0"/>
        <v>212559.69</v>
      </c>
      <c r="H6" s="607">
        <f t="shared" ref="H6:K6" si="1">H8+H22+H36+H46+H52+H68+H76+H91+H95+H120+H131+H140+H152+H178+H179</f>
        <v>26218633.910000004</v>
      </c>
      <c r="I6" s="608">
        <f t="shared" si="1"/>
        <v>21624169.140000004</v>
      </c>
      <c r="J6" s="608">
        <f t="shared" si="1"/>
        <v>3600923.2700000005</v>
      </c>
      <c r="K6" s="591">
        <f t="shared" si="1"/>
        <v>993541.5</v>
      </c>
      <c r="L6" s="383">
        <f t="shared" ref="L6:S6" si="2">L8+L22+L36+L46+L52+L68+L76+L91+L95+L120+L131+L140+L152+L178+L179</f>
        <v>33938795</v>
      </c>
      <c r="M6" s="383">
        <f t="shared" si="2"/>
        <v>24080845</v>
      </c>
      <c r="N6" s="383">
        <f t="shared" si="2"/>
        <v>8701200</v>
      </c>
      <c r="O6" s="383">
        <f t="shared" si="2"/>
        <v>1156750</v>
      </c>
      <c r="P6" s="613">
        <f t="shared" si="2"/>
        <v>33938795</v>
      </c>
      <c r="Q6" s="383">
        <f t="shared" si="2"/>
        <v>24064292</v>
      </c>
      <c r="R6" s="383">
        <f t="shared" si="2"/>
        <v>8717753</v>
      </c>
      <c r="S6" s="383">
        <f t="shared" si="2"/>
        <v>1156750</v>
      </c>
      <c r="T6" s="613">
        <f t="shared" ref="T6:W6" si="3">T8+T22+T36+T46+T52+T68+T76+T91+T95+T120+T131+T140+T152+T178+T179</f>
        <v>1756812</v>
      </c>
      <c r="U6" s="383">
        <f t="shared" si="3"/>
        <v>1608757</v>
      </c>
      <c r="V6" s="383">
        <f t="shared" si="3"/>
        <v>140905</v>
      </c>
      <c r="W6" s="591">
        <f t="shared" si="3"/>
        <v>7150</v>
      </c>
      <c r="X6" s="613">
        <f t="shared" ref="X6:AA6" si="4">X8+X22+X36+X46+X52+X68+X76+X91+X95+X120+X131+X140+X152+X178+X179</f>
        <v>35695607</v>
      </c>
      <c r="Y6" s="383">
        <f t="shared" si="4"/>
        <v>25673049</v>
      </c>
      <c r="Z6" s="383">
        <f t="shared" si="4"/>
        <v>8858658</v>
      </c>
      <c r="AA6" s="591">
        <f t="shared" si="4"/>
        <v>1163900</v>
      </c>
    </row>
    <row r="7" spans="1:27" ht="13.5" thickBot="1" x14ac:dyDescent="0.25">
      <c r="A7" s="121"/>
      <c r="B7" s="253" t="s">
        <v>148</v>
      </c>
      <c r="C7" s="254"/>
      <c r="D7" s="528"/>
      <c r="E7" s="102"/>
      <c r="F7" s="102"/>
      <c r="G7" s="347"/>
      <c r="H7" s="528"/>
      <c r="I7" s="102"/>
      <c r="J7" s="102"/>
      <c r="K7" s="347"/>
      <c r="L7" s="614"/>
      <c r="M7" s="615"/>
      <c r="N7" s="615"/>
      <c r="O7" s="616"/>
      <c r="P7" s="610"/>
      <c r="Q7" s="610"/>
      <c r="R7" s="610"/>
      <c r="S7" s="610"/>
      <c r="T7" s="611"/>
      <c r="U7" s="610"/>
      <c r="V7" s="610"/>
      <c r="W7" s="612"/>
      <c r="X7" s="611"/>
      <c r="Y7" s="610"/>
      <c r="Z7" s="610"/>
      <c r="AA7" s="612"/>
    </row>
    <row r="8" spans="1:27" ht="15.75" x14ac:dyDescent="0.25">
      <c r="A8" s="121"/>
      <c r="B8" s="271" t="s">
        <v>149</v>
      </c>
      <c r="C8" s="272"/>
      <c r="D8" s="266">
        <f t="shared" ref="D8:G8" si="5">D9+D14+D18+D19+D20+D21</f>
        <v>370535.19</v>
      </c>
      <c r="E8" s="267">
        <f t="shared" si="5"/>
        <v>328826.02999999997</v>
      </c>
      <c r="F8" s="267">
        <f t="shared" si="5"/>
        <v>41709.160000000003</v>
      </c>
      <c r="G8" s="268">
        <f t="shared" si="5"/>
        <v>0</v>
      </c>
      <c r="H8" s="266">
        <f t="shared" ref="H8:K8" si="6">H9+H14+H18+H19+H20+H21</f>
        <v>466634.43</v>
      </c>
      <c r="I8" s="267">
        <f t="shared" si="6"/>
        <v>410992.58</v>
      </c>
      <c r="J8" s="267">
        <f t="shared" si="6"/>
        <v>55641.85</v>
      </c>
      <c r="K8" s="268">
        <f t="shared" si="6"/>
        <v>0</v>
      </c>
      <c r="L8" s="266">
        <f t="shared" ref="L8:O8" si="7">L9+L14+L18+L19+L20+L21</f>
        <v>425090</v>
      </c>
      <c r="M8" s="267">
        <f t="shared" si="7"/>
        <v>405090</v>
      </c>
      <c r="N8" s="267">
        <f t="shared" si="7"/>
        <v>20000</v>
      </c>
      <c r="O8" s="268">
        <f t="shared" si="7"/>
        <v>0</v>
      </c>
      <c r="P8" s="266">
        <f t="shared" ref="P8:S8" si="8">P9+P14+P18+P19+P20+P21</f>
        <v>425090</v>
      </c>
      <c r="Q8" s="267">
        <f t="shared" si="8"/>
        <v>405090</v>
      </c>
      <c r="R8" s="267">
        <f t="shared" si="8"/>
        <v>20000</v>
      </c>
      <c r="S8" s="268">
        <f t="shared" si="8"/>
        <v>0</v>
      </c>
      <c r="T8" s="266">
        <f t="shared" ref="T8:W8" si="9">T9+T14+T18+T19+T20+T21</f>
        <v>59175</v>
      </c>
      <c r="U8" s="267">
        <f t="shared" si="9"/>
        <v>9175</v>
      </c>
      <c r="V8" s="267">
        <f t="shared" si="9"/>
        <v>50000</v>
      </c>
      <c r="W8" s="268">
        <f t="shared" si="9"/>
        <v>0</v>
      </c>
      <c r="X8" s="266">
        <f t="shared" ref="X8:AA8" si="10">X9+X14+X18+X19+X20+X21</f>
        <v>484265</v>
      </c>
      <c r="Y8" s="267">
        <f t="shared" si="10"/>
        <v>414265</v>
      </c>
      <c r="Z8" s="267">
        <f t="shared" si="10"/>
        <v>70000</v>
      </c>
      <c r="AA8" s="268">
        <f t="shared" si="10"/>
        <v>0</v>
      </c>
    </row>
    <row r="9" spans="1:27" ht="15.75" x14ac:dyDescent="0.25">
      <c r="A9" s="121"/>
      <c r="B9" s="273" t="s">
        <v>150</v>
      </c>
      <c r="C9" s="274" t="s">
        <v>151</v>
      </c>
      <c r="D9" s="260">
        <f t="shared" ref="D9:G9" si="11">SUM(D10:D13)</f>
        <v>221887.21</v>
      </c>
      <c r="E9" s="258">
        <f t="shared" si="11"/>
        <v>221887.21</v>
      </c>
      <c r="F9" s="258">
        <f t="shared" si="11"/>
        <v>0</v>
      </c>
      <c r="G9" s="259">
        <f t="shared" si="11"/>
        <v>0</v>
      </c>
      <c r="H9" s="260">
        <f t="shared" ref="H9:K9" si="12">SUM(H10:H13)</f>
        <v>261704.16</v>
      </c>
      <c r="I9" s="258">
        <f t="shared" si="12"/>
        <v>261704.16</v>
      </c>
      <c r="J9" s="258">
        <f t="shared" si="12"/>
        <v>0</v>
      </c>
      <c r="K9" s="259">
        <f t="shared" si="12"/>
        <v>0</v>
      </c>
      <c r="L9" s="260">
        <f t="shared" ref="L9:O9" si="13">SUM(L10:L13)</f>
        <v>247390</v>
      </c>
      <c r="M9" s="258">
        <f t="shared" si="13"/>
        <v>247390</v>
      </c>
      <c r="N9" s="258">
        <f t="shared" si="13"/>
        <v>0</v>
      </c>
      <c r="O9" s="259">
        <f t="shared" si="13"/>
        <v>0</v>
      </c>
      <c r="P9" s="260">
        <f t="shared" ref="P9:S9" si="14">SUM(P10:P13)</f>
        <v>247390</v>
      </c>
      <c r="Q9" s="258">
        <f t="shared" si="14"/>
        <v>247390</v>
      </c>
      <c r="R9" s="258">
        <f t="shared" si="14"/>
        <v>0</v>
      </c>
      <c r="S9" s="259">
        <f t="shared" si="14"/>
        <v>0</v>
      </c>
      <c r="T9" s="260">
        <f t="shared" ref="T9:W9" si="15">SUM(T10:T13)</f>
        <v>0</v>
      </c>
      <c r="U9" s="258">
        <f t="shared" si="15"/>
        <v>0</v>
      </c>
      <c r="V9" s="258">
        <f t="shared" si="15"/>
        <v>0</v>
      </c>
      <c r="W9" s="259">
        <f t="shared" si="15"/>
        <v>0</v>
      </c>
      <c r="X9" s="260">
        <f t="shared" ref="X9:AA9" si="16">SUM(X10:X13)</f>
        <v>247390</v>
      </c>
      <c r="Y9" s="258">
        <f t="shared" si="16"/>
        <v>247390</v>
      </c>
      <c r="Z9" s="258">
        <f t="shared" si="16"/>
        <v>0</v>
      </c>
      <c r="AA9" s="259">
        <f t="shared" si="16"/>
        <v>0</v>
      </c>
    </row>
    <row r="10" spans="1:27" ht="15.75" x14ac:dyDescent="0.25">
      <c r="A10" s="121"/>
      <c r="B10" s="273">
        <v>1</v>
      </c>
      <c r="C10" s="274" t="s">
        <v>152</v>
      </c>
      <c r="D10" s="260">
        <f>SUM(E10:G10)</f>
        <v>95089.45</v>
      </c>
      <c r="E10" s="258">
        <f>'[1]1.Plánovanie, manažment a kontr'!$E$5</f>
        <v>95089.45</v>
      </c>
      <c r="F10" s="258">
        <f>'[1]1.Plánovanie, manažment a kontr'!$F$5</f>
        <v>0</v>
      </c>
      <c r="G10" s="259">
        <f>'[1]1.Plánovanie, manažment a kontr'!$G$5</f>
        <v>0</v>
      </c>
      <c r="H10" s="260">
        <f>SUM(I10:K10)</f>
        <v>102410.45999999999</v>
      </c>
      <c r="I10" s="258">
        <f>'[1]1.Plánovanie, manažment a kontr'!$H$5</f>
        <v>102410.45999999999</v>
      </c>
      <c r="J10" s="258">
        <f>'[1]1.Plánovanie, manažment a kontr'!$I$5</f>
        <v>0</v>
      </c>
      <c r="K10" s="259">
        <f>'[1]1.Plánovanie, manažment a kontr'!$J$5</f>
        <v>0</v>
      </c>
      <c r="L10" s="260">
        <f>SUM(M10:O10)</f>
        <v>107670</v>
      </c>
      <c r="M10" s="258">
        <f>'[1]1.Plánovanie, manažment a kontr'!$K$5</f>
        <v>107670</v>
      </c>
      <c r="N10" s="258">
        <f>'[1]1.Plánovanie, manažment a kontr'!$L$5</f>
        <v>0</v>
      </c>
      <c r="O10" s="259">
        <f>'[1]1.Plánovanie, manažment a kontr'!$M$5</f>
        <v>0</v>
      </c>
      <c r="P10" s="260">
        <f>SUM(Q10:S10)</f>
        <v>107670</v>
      </c>
      <c r="Q10" s="258">
        <f>'[1]1.Plánovanie, manažment a kontr'!$N$5</f>
        <v>107670</v>
      </c>
      <c r="R10" s="258">
        <f>'[1]1.Plánovanie, manažment a kontr'!$O$5</f>
        <v>0</v>
      </c>
      <c r="S10" s="259">
        <f>'[1]1.Plánovanie, manažment a kontr'!$P$5</f>
        <v>0</v>
      </c>
      <c r="T10" s="260">
        <f>SUM(U10:W10)</f>
        <v>0</v>
      </c>
      <c r="U10" s="258">
        <f>'[1]1.Plánovanie, manažment a kontr'!$Q$5</f>
        <v>0</v>
      </c>
      <c r="V10" s="258">
        <f>'[1]1.Plánovanie, manažment a kontr'!$R$5</f>
        <v>0</v>
      </c>
      <c r="W10" s="259">
        <f>'[1]1.Plánovanie, manažment a kontr'!$S$5</f>
        <v>0</v>
      </c>
      <c r="X10" s="260">
        <f>SUM(Y10:AA10)</f>
        <v>107670</v>
      </c>
      <c r="Y10" s="258">
        <f>'[1]1.Plánovanie, manažment a kontr'!$T$5</f>
        <v>107670</v>
      </c>
      <c r="Z10" s="258">
        <f>'[1]1.Plánovanie, manažment a kontr'!$U$5</f>
        <v>0</v>
      </c>
      <c r="AA10" s="259">
        <f>'[1]1.Plánovanie, manažment a kontr'!$V$5</f>
        <v>0</v>
      </c>
    </row>
    <row r="11" spans="1:27" ht="15.75" x14ac:dyDescent="0.25">
      <c r="A11" s="122"/>
      <c r="B11" s="273">
        <v>2</v>
      </c>
      <c r="C11" s="274" t="s">
        <v>153</v>
      </c>
      <c r="D11" s="260">
        <f t="shared" ref="D11:D13" si="17">SUM(E11:G11)</f>
        <v>44917.61</v>
      </c>
      <c r="E11" s="258">
        <f>'[1]1.Plánovanie, manažment a kontr'!$E$17</f>
        <v>44917.61</v>
      </c>
      <c r="F11" s="258">
        <f>'[1]1.Plánovanie, manažment a kontr'!$F$17</f>
        <v>0</v>
      </c>
      <c r="G11" s="259">
        <f>'[1]1.Plánovanie, manažment a kontr'!$G$17</f>
        <v>0</v>
      </c>
      <c r="H11" s="260">
        <f t="shared" ref="H11:H13" si="18">SUM(I11:K11)</f>
        <v>43847.799999999996</v>
      </c>
      <c r="I11" s="258">
        <f>'[1]1.Plánovanie, manažment a kontr'!$H$17</f>
        <v>43847.799999999996</v>
      </c>
      <c r="J11" s="258">
        <f>'[1]1.Plánovanie, manažment a kontr'!$I$17</f>
        <v>0</v>
      </c>
      <c r="K11" s="259">
        <f>'[1]1.Plánovanie, manažment a kontr'!$J$17</f>
        <v>0</v>
      </c>
      <c r="L11" s="260">
        <f t="shared" ref="L11:L13" si="19">SUM(M11:O11)</f>
        <v>50120</v>
      </c>
      <c r="M11" s="258">
        <f>'[1]1.Plánovanie, manažment a kontr'!$K$17</f>
        <v>50120</v>
      </c>
      <c r="N11" s="258">
        <f>'[1]1.Plánovanie, manažment a kontr'!$L$17</f>
        <v>0</v>
      </c>
      <c r="O11" s="259">
        <f>'[1]1.Plánovanie, manažment a kontr'!$M$17</f>
        <v>0</v>
      </c>
      <c r="P11" s="260">
        <f t="shared" ref="P11:P13" si="20">SUM(Q11:S11)</f>
        <v>50120</v>
      </c>
      <c r="Q11" s="258">
        <f>'[1]1.Plánovanie, manažment a kontr'!$N$17</f>
        <v>50120</v>
      </c>
      <c r="R11" s="258">
        <f>'[1]1.Plánovanie, manažment a kontr'!$O$17</f>
        <v>0</v>
      </c>
      <c r="S11" s="259">
        <f>'[1]1.Plánovanie, manažment a kontr'!$P$17</f>
        <v>0</v>
      </c>
      <c r="T11" s="260">
        <f t="shared" ref="T11:T13" si="21">SUM(U11:W11)</f>
        <v>0</v>
      </c>
      <c r="U11" s="258">
        <f>'[1]1.Plánovanie, manažment a kontr'!$Q$17</f>
        <v>0</v>
      </c>
      <c r="V11" s="258">
        <f>'[1]1.Plánovanie, manažment a kontr'!$R$17</f>
        <v>0</v>
      </c>
      <c r="W11" s="259">
        <f>'[1]1.Plánovanie, manažment a kontr'!$S$17</f>
        <v>0</v>
      </c>
      <c r="X11" s="260">
        <f t="shared" ref="X11:X13" si="22">SUM(Y11:AA11)</f>
        <v>50120</v>
      </c>
      <c r="Y11" s="258">
        <f>'[1]1.Plánovanie, manažment a kontr'!$T$17</f>
        <v>50120</v>
      </c>
      <c r="Z11" s="258">
        <f>'[1]1.Plánovanie, manažment a kontr'!$U$17</f>
        <v>0</v>
      </c>
      <c r="AA11" s="259">
        <f>'[1]1.Plánovanie, manažment a kontr'!$V$17</f>
        <v>0</v>
      </c>
    </row>
    <row r="12" spans="1:27" ht="15.75" x14ac:dyDescent="0.25">
      <c r="A12" s="122"/>
      <c r="B12" s="273">
        <v>3</v>
      </c>
      <c r="C12" s="274" t="s">
        <v>154</v>
      </c>
      <c r="D12" s="260">
        <f t="shared" si="17"/>
        <v>81880.149999999994</v>
      </c>
      <c r="E12" s="258">
        <f>'[1]1.Plánovanie, manažment a kontr'!$E$28</f>
        <v>81880.149999999994</v>
      </c>
      <c r="F12" s="258">
        <f>'[1]1.Plánovanie, manažment a kontr'!$F$28</f>
        <v>0</v>
      </c>
      <c r="G12" s="259">
        <f>'[1]1.Plánovanie, manažment a kontr'!$G$28</f>
        <v>0</v>
      </c>
      <c r="H12" s="260">
        <f t="shared" si="18"/>
        <v>108129.70000000001</v>
      </c>
      <c r="I12" s="258">
        <f>'[1]1.Plánovanie, manažment a kontr'!$H$28</f>
        <v>108129.70000000001</v>
      </c>
      <c r="J12" s="258">
        <f>'[1]1.Plánovanie, manažment a kontr'!$I$28</f>
        <v>0</v>
      </c>
      <c r="K12" s="259">
        <f>'[1]1.Plánovanie, manažment a kontr'!$J$28</f>
        <v>0</v>
      </c>
      <c r="L12" s="260">
        <f t="shared" si="19"/>
        <v>85200</v>
      </c>
      <c r="M12" s="258">
        <f>'[1]1.Plánovanie, manažment a kontr'!$K$28</f>
        <v>85200</v>
      </c>
      <c r="N12" s="258">
        <f>'[1]1.Plánovanie, manažment a kontr'!$L$28</f>
        <v>0</v>
      </c>
      <c r="O12" s="259">
        <f>'[1]1.Plánovanie, manažment a kontr'!$M$28</f>
        <v>0</v>
      </c>
      <c r="P12" s="260">
        <f t="shared" si="20"/>
        <v>85200</v>
      </c>
      <c r="Q12" s="258">
        <f>'[1]1.Plánovanie, manažment a kontr'!$N$28</f>
        <v>85200</v>
      </c>
      <c r="R12" s="258">
        <f>'[1]1.Plánovanie, manažment a kontr'!$O$28</f>
        <v>0</v>
      </c>
      <c r="S12" s="259">
        <f>'[1]1.Plánovanie, manažment a kontr'!$P$28</f>
        <v>0</v>
      </c>
      <c r="T12" s="260">
        <f t="shared" si="21"/>
        <v>0</v>
      </c>
      <c r="U12" s="258">
        <f>'[1]1.Plánovanie, manažment a kontr'!$Q$28</f>
        <v>0</v>
      </c>
      <c r="V12" s="258">
        <f>'[1]1.Plánovanie, manažment a kontr'!$R$28</f>
        <v>0</v>
      </c>
      <c r="W12" s="259">
        <f>'[1]1.Plánovanie, manažment a kontr'!$S$28</f>
        <v>0</v>
      </c>
      <c r="X12" s="260">
        <f t="shared" si="22"/>
        <v>85200</v>
      </c>
      <c r="Y12" s="258">
        <f>'[1]1.Plánovanie, manažment a kontr'!$T$28</f>
        <v>85200</v>
      </c>
      <c r="Z12" s="258">
        <f>'[1]1.Plánovanie, manažment a kontr'!$U$28</f>
        <v>0</v>
      </c>
      <c r="AA12" s="259">
        <f>'[1]1.Plánovanie, manažment a kontr'!$V$28</f>
        <v>0</v>
      </c>
    </row>
    <row r="13" spans="1:27" ht="15.75" x14ac:dyDescent="0.25">
      <c r="A13" s="122"/>
      <c r="B13" s="273">
        <v>4</v>
      </c>
      <c r="C13" s="274" t="s">
        <v>155</v>
      </c>
      <c r="D13" s="260">
        <f t="shared" si="17"/>
        <v>0</v>
      </c>
      <c r="E13" s="258">
        <f>'[1]1.Plánovanie, manažment a kontr'!$E$33</f>
        <v>0</v>
      </c>
      <c r="F13" s="258">
        <f>'[1]1.Plánovanie, manažment a kontr'!$F$33</f>
        <v>0</v>
      </c>
      <c r="G13" s="259">
        <f>'[1]1.Plánovanie, manažment a kontr'!$G$33</f>
        <v>0</v>
      </c>
      <c r="H13" s="260">
        <f t="shared" si="18"/>
        <v>7316.2</v>
      </c>
      <c r="I13" s="258">
        <f>'[1]1.Plánovanie, manažment a kontr'!$H$33</f>
        <v>7316.2</v>
      </c>
      <c r="J13" s="258">
        <f>'[1]1.Plánovanie, manažment a kontr'!$I$33</f>
        <v>0</v>
      </c>
      <c r="K13" s="259">
        <f>'[1]1.Plánovanie, manažment a kontr'!$J$33</f>
        <v>0</v>
      </c>
      <c r="L13" s="260">
        <f t="shared" si="19"/>
        <v>4400</v>
      </c>
      <c r="M13" s="258">
        <f>'[1]1.Plánovanie, manažment a kontr'!$K$33</f>
        <v>4400</v>
      </c>
      <c r="N13" s="258">
        <f>'[1]1.Plánovanie, manažment a kontr'!$L$33</f>
        <v>0</v>
      </c>
      <c r="O13" s="259">
        <f>'[1]1.Plánovanie, manažment a kontr'!$M$33</f>
        <v>0</v>
      </c>
      <c r="P13" s="260">
        <f t="shared" si="20"/>
        <v>4400</v>
      </c>
      <c r="Q13" s="258">
        <f>'[1]1.Plánovanie, manažment a kontr'!$N$33</f>
        <v>4400</v>
      </c>
      <c r="R13" s="258">
        <f>'[1]1.Plánovanie, manažment a kontr'!$O$33</f>
        <v>0</v>
      </c>
      <c r="S13" s="259">
        <f>'[1]1.Plánovanie, manažment a kontr'!$P$33</f>
        <v>0</v>
      </c>
      <c r="T13" s="260">
        <f t="shared" si="21"/>
        <v>0</v>
      </c>
      <c r="U13" s="258">
        <f>'[1]1.Plánovanie, manažment a kontr'!$Q$33</f>
        <v>0</v>
      </c>
      <c r="V13" s="258">
        <f>'[1]1.Plánovanie, manažment a kontr'!$R$33</f>
        <v>0</v>
      </c>
      <c r="W13" s="259">
        <f>'[1]1.Plánovanie, manažment a kontr'!$S$33</f>
        <v>0</v>
      </c>
      <c r="X13" s="260">
        <f t="shared" si="22"/>
        <v>4400</v>
      </c>
      <c r="Y13" s="258">
        <f>'[1]1.Plánovanie, manažment a kontr'!$T$33</f>
        <v>4400</v>
      </c>
      <c r="Z13" s="258">
        <f>'[1]1.Plánovanie, manažment a kontr'!$U$33</f>
        <v>0</v>
      </c>
      <c r="AA13" s="259">
        <f>'[1]1.Plánovanie, manažment a kontr'!$V$33</f>
        <v>0</v>
      </c>
    </row>
    <row r="14" spans="1:27" ht="15.75" x14ac:dyDescent="0.25">
      <c r="A14" s="122"/>
      <c r="B14" s="273" t="s">
        <v>156</v>
      </c>
      <c r="C14" s="274" t="s">
        <v>157</v>
      </c>
      <c r="D14" s="260">
        <f t="shared" ref="D14:G14" si="23">SUM(D15:D17)</f>
        <v>58596.280000000006</v>
      </c>
      <c r="E14" s="258">
        <f t="shared" si="23"/>
        <v>16887.120000000003</v>
      </c>
      <c r="F14" s="258">
        <f t="shared" si="23"/>
        <v>41709.160000000003</v>
      </c>
      <c r="G14" s="259">
        <f t="shared" si="23"/>
        <v>0</v>
      </c>
      <c r="H14" s="260">
        <f t="shared" ref="H14:K14" si="24">SUM(H15:H17)</f>
        <v>97354.76999999999</v>
      </c>
      <c r="I14" s="258">
        <f t="shared" si="24"/>
        <v>41712.92</v>
      </c>
      <c r="J14" s="258">
        <f t="shared" si="24"/>
        <v>55641.85</v>
      </c>
      <c r="K14" s="259">
        <f t="shared" si="24"/>
        <v>0</v>
      </c>
      <c r="L14" s="260">
        <f t="shared" ref="L14:O14" si="25">SUM(L15:L17)</f>
        <v>63500</v>
      </c>
      <c r="M14" s="258">
        <f t="shared" si="25"/>
        <v>43500</v>
      </c>
      <c r="N14" s="258">
        <f t="shared" si="25"/>
        <v>20000</v>
      </c>
      <c r="O14" s="259">
        <f t="shared" si="25"/>
        <v>0</v>
      </c>
      <c r="P14" s="260">
        <f t="shared" ref="P14:S14" si="26">SUM(P15:P17)</f>
        <v>63300</v>
      </c>
      <c r="Q14" s="258">
        <f t="shared" si="26"/>
        <v>43300</v>
      </c>
      <c r="R14" s="258">
        <f t="shared" si="26"/>
        <v>20000</v>
      </c>
      <c r="S14" s="259">
        <f t="shared" si="26"/>
        <v>0</v>
      </c>
      <c r="T14" s="260">
        <f t="shared" ref="T14:W14" si="27">SUM(T15:T17)</f>
        <v>58475</v>
      </c>
      <c r="U14" s="258">
        <f t="shared" si="27"/>
        <v>8475</v>
      </c>
      <c r="V14" s="258">
        <f t="shared" si="27"/>
        <v>50000</v>
      </c>
      <c r="W14" s="259">
        <f t="shared" si="27"/>
        <v>0</v>
      </c>
      <c r="X14" s="260">
        <f t="shared" ref="X14:AA14" si="28">SUM(X15:X17)</f>
        <v>121775</v>
      </c>
      <c r="Y14" s="258">
        <f t="shared" si="28"/>
        <v>51775</v>
      </c>
      <c r="Z14" s="258">
        <f t="shared" si="28"/>
        <v>70000</v>
      </c>
      <c r="AA14" s="259">
        <f t="shared" si="28"/>
        <v>0</v>
      </c>
    </row>
    <row r="15" spans="1:27" ht="15.75" x14ac:dyDescent="0.25">
      <c r="A15" s="122"/>
      <c r="B15" s="273">
        <v>1</v>
      </c>
      <c r="C15" s="274" t="s">
        <v>158</v>
      </c>
      <c r="D15" s="260">
        <f>SUM(E15:G15)</f>
        <v>16791.120000000003</v>
      </c>
      <c r="E15" s="258">
        <f>'[1]1.Plánovanie, manažment a kontr'!$E$41</f>
        <v>16791.120000000003</v>
      </c>
      <c r="F15" s="258">
        <f>'[1]1.Plánovanie, manažment a kontr'!$F$41</f>
        <v>0</v>
      </c>
      <c r="G15" s="259">
        <f>'[1]1.Plánovanie, manažment a kontr'!$G$41</f>
        <v>0</v>
      </c>
      <c r="H15" s="260">
        <f>SUM(I15:K15)</f>
        <v>18335.53</v>
      </c>
      <c r="I15" s="258">
        <f>'[1]1.Plánovanie, manažment a kontr'!$H$41</f>
        <v>18335.53</v>
      </c>
      <c r="J15" s="258">
        <f>'[1]1.Plánovanie, manažment a kontr'!$I$41</f>
        <v>0</v>
      </c>
      <c r="K15" s="259">
        <f>'[1]1.Plánovanie, manažment a kontr'!$J$41</f>
        <v>0</v>
      </c>
      <c r="L15" s="260">
        <f>SUM(M15:O15)</f>
        <v>18000</v>
      </c>
      <c r="M15" s="258">
        <f>'[1]1.Plánovanie, manažment a kontr'!$K$41</f>
        <v>18000</v>
      </c>
      <c r="N15" s="258">
        <f>'[1]1.Plánovanie, manažment a kontr'!$L$41</f>
        <v>0</v>
      </c>
      <c r="O15" s="259">
        <f>'[1]1.Plánovanie, manažment a kontr'!$M$41</f>
        <v>0</v>
      </c>
      <c r="P15" s="260">
        <f>SUM(Q15:S15)</f>
        <v>17800</v>
      </c>
      <c r="Q15" s="258">
        <f>'[1]1.Plánovanie, manažment a kontr'!$N$41</f>
        <v>17800</v>
      </c>
      <c r="R15" s="258">
        <f>'[1]1.Plánovanie, manažment a kontr'!$O$41</f>
        <v>0</v>
      </c>
      <c r="S15" s="259">
        <f>'[1]1.Plánovanie, manažment a kontr'!$P$41</f>
        <v>0</v>
      </c>
      <c r="T15" s="260">
        <f>SUM(U15:W15)</f>
        <v>8475</v>
      </c>
      <c r="U15" s="258">
        <f>'[1]1.Plánovanie, manažment a kontr'!$Q$41</f>
        <v>8475</v>
      </c>
      <c r="V15" s="258">
        <f>'[1]1.Plánovanie, manažment a kontr'!$R$41</f>
        <v>0</v>
      </c>
      <c r="W15" s="259">
        <f>'[1]1.Plánovanie, manažment a kontr'!$S$41</f>
        <v>0</v>
      </c>
      <c r="X15" s="260">
        <f>SUM(Y15:AA15)</f>
        <v>26275</v>
      </c>
      <c r="Y15" s="258">
        <f>'[1]1.Plánovanie, manažment a kontr'!$T$41</f>
        <v>26275</v>
      </c>
      <c r="Z15" s="258">
        <f>'[1]1.Plánovanie, manažment a kontr'!$U$41</f>
        <v>0</v>
      </c>
      <c r="AA15" s="259">
        <f>'[1]1.Plánovanie, manažment a kontr'!$V$41</f>
        <v>0</v>
      </c>
    </row>
    <row r="16" spans="1:27" ht="15.75" x14ac:dyDescent="0.25">
      <c r="A16" s="122"/>
      <c r="B16" s="273">
        <v>2</v>
      </c>
      <c r="C16" s="274" t="s">
        <v>159</v>
      </c>
      <c r="D16" s="260">
        <f t="shared" ref="D16:D21" si="29">SUM(E16:G16)</f>
        <v>0</v>
      </c>
      <c r="E16" s="258">
        <f>'[1]1.Plánovanie, manažment a kontr'!$E$58</f>
        <v>0</v>
      </c>
      <c r="F16" s="258">
        <f>'[1]1.Plánovanie, manažment a kontr'!$F$58</f>
        <v>0</v>
      </c>
      <c r="G16" s="259">
        <f>'[1]1.Plánovanie, manažment a kontr'!$G$58</f>
        <v>0</v>
      </c>
      <c r="H16" s="260">
        <f t="shared" ref="H16:H21" si="30">SUM(I16:K16)</f>
        <v>21300</v>
      </c>
      <c r="I16" s="258">
        <f>'[1]1.Plánovanie, manažment a kontr'!$H$58</f>
        <v>21300</v>
      </c>
      <c r="J16" s="258">
        <f>'[1]1.Plánovanie, manažment a kontr'!$I$58</f>
        <v>0</v>
      </c>
      <c r="K16" s="259">
        <f>'[1]1.Plánovanie, manažment a kontr'!$J$58</f>
        <v>0</v>
      </c>
      <c r="L16" s="260">
        <f t="shared" ref="L16:L21" si="31">SUM(M16:O16)</f>
        <v>22500</v>
      </c>
      <c r="M16" s="258">
        <f>'[1]1.Plánovanie, manažment a kontr'!$K$58</f>
        <v>22500</v>
      </c>
      <c r="N16" s="258">
        <f>'[1]1.Plánovanie, manažment a kontr'!$L$58</f>
        <v>0</v>
      </c>
      <c r="O16" s="259">
        <f>'[1]1.Plánovanie, manažment a kontr'!$M$58</f>
        <v>0</v>
      </c>
      <c r="P16" s="260">
        <f t="shared" ref="P16:P21" si="32">SUM(Q16:S16)</f>
        <v>22500</v>
      </c>
      <c r="Q16" s="258">
        <f>'[1]1.Plánovanie, manažment a kontr'!$N$58</f>
        <v>22500</v>
      </c>
      <c r="R16" s="258">
        <f>'[1]1.Plánovanie, manažment a kontr'!$O$58</f>
        <v>0</v>
      </c>
      <c r="S16" s="259">
        <f>'[1]1.Plánovanie, manažment a kontr'!$P$58</f>
        <v>0</v>
      </c>
      <c r="T16" s="260">
        <f t="shared" ref="T16:T21" si="33">SUM(U16:W16)</f>
        <v>0</v>
      </c>
      <c r="U16" s="258">
        <f>'[1]1.Plánovanie, manažment a kontr'!$Q$58</f>
        <v>0</v>
      </c>
      <c r="V16" s="258">
        <f>'[1]1.Plánovanie, manažment a kontr'!$R$58</f>
        <v>0</v>
      </c>
      <c r="W16" s="259">
        <f>'[1]1.Plánovanie, manažment a kontr'!$S$58</f>
        <v>0</v>
      </c>
      <c r="X16" s="260">
        <f t="shared" ref="X16:X21" si="34">SUM(Y16:AA16)</f>
        <v>22500</v>
      </c>
      <c r="Y16" s="258">
        <f>'[1]1.Plánovanie, manažment a kontr'!$T$58</f>
        <v>22500</v>
      </c>
      <c r="Z16" s="258">
        <f>'[1]1.Plánovanie, manažment a kontr'!$U$58</f>
        <v>0</v>
      </c>
      <c r="AA16" s="259">
        <f>'[1]1.Plánovanie, manažment a kontr'!$V$58</f>
        <v>0</v>
      </c>
    </row>
    <row r="17" spans="1:27" ht="15.75" x14ac:dyDescent="0.25">
      <c r="A17" s="122"/>
      <c r="B17" s="273">
        <v>3</v>
      </c>
      <c r="C17" s="274" t="s">
        <v>160</v>
      </c>
      <c r="D17" s="260">
        <f t="shared" si="29"/>
        <v>41805.160000000003</v>
      </c>
      <c r="E17" s="258">
        <f>'[1]1.Plánovanie, manažment a kontr'!$E$62</f>
        <v>96</v>
      </c>
      <c r="F17" s="258">
        <f>'[1]1.Plánovanie, manažment a kontr'!$F$62</f>
        <v>41709.160000000003</v>
      </c>
      <c r="G17" s="259">
        <f>'[1]1.Plánovanie, manažment a kontr'!$G$62</f>
        <v>0</v>
      </c>
      <c r="H17" s="260">
        <f t="shared" si="30"/>
        <v>57719.24</v>
      </c>
      <c r="I17" s="258">
        <f>'[1]1.Plánovanie, manažment a kontr'!$H$62</f>
        <v>2077.39</v>
      </c>
      <c r="J17" s="258">
        <f>'[1]1.Plánovanie, manažment a kontr'!$I$62</f>
        <v>55641.85</v>
      </c>
      <c r="K17" s="259">
        <f>'[1]1.Plánovanie, manažment a kontr'!$J$62</f>
        <v>0</v>
      </c>
      <c r="L17" s="260">
        <f t="shared" si="31"/>
        <v>23000</v>
      </c>
      <c r="M17" s="258">
        <f>'[1]1.Plánovanie, manažment a kontr'!$K$62</f>
        <v>3000</v>
      </c>
      <c r="N17" s="258">
        <f>'[1]1.Plánovanie, manažment a kontr'!$L$62</f>
        <v>20000</v>
      </c>
      <c r="O17" s="259">
        <f>'[1]1.Plánovanie, manažment a kontr'!$M$62</f>
        <v>0</v>
      </c>
      <c r="P17" s="260">
        <f t="shared" si="32"/>
        <v>23000</v>
      </c>
      <c r="Q17" s="258">
        <f>'[1]1.Plánovanie, manažment a kontr'!$N$62</f>
        <v>3000</v>
      </c>
      <c r="R17" s="258">
        <f>'[1]1.Plánovanie, manažment a kontr'!$O$62</f>
        <v>20000</v>
      </c>
      <c r="S17" s="259">
        <f>'[1]1.Plánovanie, manažment a kontr'!$P$62</f>
        <v>0</v>
      </c>
      <c r="T17" s="260">
        <f t="shared" si="33"/>
        <v>50000</v>
      </c>
      <c r="U17" s="258">
        <f>'[1]1.Plánovanie, manažment a kontr'!$Q$62</f>
        <v>0</v>
      </c>
      <c r="V17" s="258">
        <f>'[1]1.Plánovanie, manažment a kontr'!$R$62</f>
        <v>50000</v>
      </c>
      <c r="W17" s="259">
        <f>'[1]1.Plánovanie, manažment a kontr'!$S$62</f>
        <v>0</v>
      </c>
      <c r="X17" s="260">
        <f t="shared" si="34"/>
        <v>73000</v>
      </c>
      <c r="Y17" s="258">
        <f>'[1]1.Plánovanie, manažment a kontr'!$T$62</f>
        <v>3000</v>
      </c>
      <c r="Z17" s="258">
        <f>'[1]1.Plánovanie, manažment a kontr'!$U$62</f>
        <v>70000</v>
      </c>
      <c r="AA17" s="259">
        <f>'[1]1.Plánovanie, manažment a kontr'!$V$62</f>
        <v>0</v>
      </c>
    </row>
    <row r="18" spans="1:27" ht="15.75" x14ac:dyDescent="0.25">
      <c r="A18" s="102"/>
      <c r="B18" s="273" t="s">
        <v>161</v>
      </c>
      <c r="C18" s="274" t="s">
        <v>162</v>
      </c>
      <c r="D18" s="260">
        <f t="shared" si="29"/>
        <v>79235.239999999991</v>
      </c>
      <c r="E18" s="258">
        <f>'[1]1.Plánovanie, manažment a kontr'!$E$79</f>
        <v>79235.239999999991</v>
      </c>
      <c r="F18" s="258">
        <f>'[1]1.Plánovanie, manažment a kontr'!$F$79</f>
        <v>0</v>
      </c>
      <c r="G18" s="259">
        <f>'[1]1.Plánovanie, manažment a kontr'!$G$79</f>
        <v>0</v>
      </c>
      <c r="H18" s="260">
        <f t="shared" si="30"/>
        <v>94618.590000000011</v>
      </c>
      <c r="I18" s="258">
        <f>'[1]1.Plánovanie, manažment a kontr'!$H$79</f>
        <v>94618.590000000011</v>
      </c>
      <c r="J18" s="258">
        <f>'[1]1.Plánovanie, manažment a kontr'!$I$79</f>
        <v>0</v>
      </c>
      <c r="K18" s="259">
        <f>'[1]1.Plánovanie, manažment a kontr'!$J$79</f>
        <v>0</v>
      </c>
      <c r="L18" s="260">
        <f t="shared" si="31"/>
        <v>101200</v>
      </c>
      <c r="M18" s="258">
        <f>'[1]1.Plánovanie, manažment a kontr'!$K$79</f>
        <v>101200</v>
      </c>
      <c r="N18" s="258">
        <f>'[1]1.Plánovanie, manažment a kontr'!$L$79</f>
        <v>0</v>
      </c>
      <c r="O18" s="259">
        <f>'[1]1.Plánovanie, manažment a kontr'!$M$79</f>
        <v>0</v>
      </c>
      <c r="P18" s="260">
        <f t="shared" si="32"/>
        <v>101200</v>
      </c>
      <c r="Q18" s="258">
        <f>'[1]1.Plánovanie, manažment a kontr'!$N$79</f>
        <v>101200</v>
      </c>
      <c r="R18" s="258">
        <f>'[1]1.Plánovanie, manažment a kontr'!$O$79</f>
        <v>0</v>
      </c>
      <c r="S18" s="259">
        <f>'[1]1.Plánovanie, manažment a kontr'!$P$79</f>
        <v>0</v>
      </c>
      <c r="T18" s="260">
        <f t="shared" si="33"/>
        <v>0</v>
      </c>
      <c r="U18" s="258">
        <f>'[1]1.Plánovanie, manažment a kontr'!$Q$79</f>
        <v>0</v>
      </c>
      <c r="V18" s="258">
        <f>'[1]1.Plánovanie, manažment a kontr'!$R$79</f>
        <v>0</v>
      </c>
      <c r="W18" s="259">
        <f>'[1]1.Plánovanie, manažment a kontr'!$S$79</f>
        <v>0</v>
      </c>
      <c r="X18" s="260">
        <f t="shared" si="34"/>
        <v>101200</v>
      </c>
      <c r="Y18" s="258">
        <f>'[1]1.Plánovanie, manažment a kontr'!$T$79</f>
        <v>101200</v>
      </c>
      <c r="Z18" s="258">
        <f>'[1]1.Plánovanie, manažment a kontr'!$U$79</f>
        <v>0</v>
      </c>
      <c r="AA18" s="259">
        <f>'[1]1.Plánovanie, manažment a kontr'!$V$79</f>
        <v>0</v>
      </c>
    </row>
    <row r="19" spans="1:27" ht="15.75" x14ac:dyDescent="0.25">
      <c r="A19" s="121"/>
      <c r="B19" s="273" t="s">
        <v>163</v>
      </c>
      <c r="C19" s="274" t="s">
        <v>164</v>
      </c>
      <c r="D19" s="260">
        <f t="shared" si="29"/>
        <v>4320</v>
      </c>
      <c r="E19" s="258">
        <f>'[1]1.Plánovanie, manažment a kontr'!$E$88</f>
        <v>4320</v>
      </c>
      <c r="F19" s="258">
        <f>'[1]1.Plánovanie, manažment a kontr'!$F$88</f>
        <v>0</v>
      </c>
      <c r="G19" s="259">
        <f>'[1]1.Plánovanie, manažment a kontr'!$G$88</f>
        <v>0</v>
      </c>
      <c r="H19" s="260">
        <f t="shared" si="30"/>
        <v>6444</v>
      </c>
      <c r="I19" s="258">
        <f>'[1]1.Plánovanie, manažment a kontr'!$H$88</f>
        <v>6444</v>
      </c>
      <c r="J19" s="258">
        <f>'[1]1.Plánovanie, manažment a kontr'!$I$88</f>
        <v>0</v>
      </c>
      <c r="K19" s="259">
        <f>'[1]1.Plánovanie, manažment a kontr'!$J$88</f>
        <v>0</v>
      </c>
      <c r="L19" s="260">
        <f t="shared" si="31"/>
        <v>7000</v>
      </c>
      <c r="M19" s="258">
        <f>'[1]1.Plánovanie, manažment a kontr'!$K$88</f>
        <v>7000</v>
      </c>
      <c r="N19" s="258">
        <f>'[1]1.Plánovanie, manažment a kontr'!$L$88</f>
        <v>0</v>
      </c>
      <c r="O19" s="259">
        <f>'[1]1.Plánovanie, manažment a kontr'!$M$88</f>
        <v>0</v>
      </c>
      <c r="P19" s="260">
        <f t="shared" si="32"/>
        <v>7000</v>
      </c>
      <c r="Q19" s="258">
        <f>'[1]1.Plánovanie, manažment a kontr'!$N$88</f>
        <v>7000</v>
      </c>
      <c r="R19" s="258">
        <f>'[1]1.Plánovanie, manažment a kontr'!$O$88</f>
        <v>0</v>
      </c>
      <c r="S19" s="259">
        <f>'[1]1.Plánovanie, manažment a kontr'!$P$88</f>
        <v>0</v>
      </c>
      <c r="T19" s="260">
        <f t="shared" si="33"/>
        <v>0</v>
      </c>
      <c r="U19" s="258">
        <f>'[1]1.Plánovanie, manažment a kontr'!$Q$88</f>
        <v>0</v>
      </c>
      <c r="V19" s="258">
        <f>'[1]1.Plánovanie, manažment a kontr'!$R$88</f>
        <v>0</v>
      </c>
      <c r="W19" s="259">
        <f>'[1]1.Plánovanie, manažment a kontr'!$S$88</f>
        <v>0</v>
      </c>
      <c r="X19" s="260">
        <f t="shared" si="34"/>
        <v>7000</v>
      </c>
      <c r="Y19" s="258">
        <f>'[1]1.Plánovanie, manažment a kontr'!$T$88</f>
        <v>7000</v>
      </c>
      <c r="Z19" s="258">
        <f>'[1]1.Plánovanie, manažment a kontr'!$U$88</f>
        <v>0</v>
      </c>
      <c r="AA19" s="259">
        <f>'[1]1.Plánovanie, manažment a kontr'!$V$88</f>
        <v>0</v>
      </c>
    </row>
    <row r="20" spans="1:27" ht="15.75" x14ac:dyDescent="0.25">
      <c r="A20" s="121"/>
      <c r="B20" s="273" t="s">
        <v>165</v>
      </c>
      <c r="C20" s="274" t="s">
        <v>166</v>
      </c>
      <c r="D20" s="260">
        <f t="shared" si="29"/>
        <v>6496.46</v>
      </c>
      <c r="E20" s="258">
        <f>'[1]1.Plánovanie, manažment a kontr'!$E$92</f>
        <v>6496.46</v>
      </c>
      <c r="F20" s="258">
        <f>'[1]1.Plánovanie, manažment a kontr'!$F$92</f>
        <v>0</v>
      </c>
      <c r="G20" s="259">
        <f>'[1]1.Plánovanie, manažment a kontr'!$G$92</f>
        <v>0</v>
      </c>
      <c r="H20" s="260">
        <f t="shared" si="30"/>
        <v>6512.91</v>
      </c>
      <c r="I20" s="258">
        <f>'[1]1.Plánovanie, manažment a kontr'!$H$92</f>
        <v>6512.91</v>
      </c>
      <c r="J20" s="258">
        <f>'[1]1.Plánovanie, manažment a kontr'!$I$92</f>
        <v>0</v>
      </c>
      <c r="K20" s="259">
        <f>'[1]1.Plánovanie, manažment a kontr'!$J$92</f>
        <v>0</v>
      </c>
      <c r="L20" s="260">
        <f t="shared" si="31"/>
        <v>6000</v>
      </c>
      <c r="M20" s="258">
        <f>'[1]1.Plánovanie, manažment a kontr'!$K$92</f>
        <v>6000</v>
      </c>
      <c r="N20" s="258">
        <f>'[1]1.Plánovanie, manažment a kontr'!$L$92</f>
        <v>0</v>
      </c>
      <c r="O20" s="259">
        <f>'[1]1.Plánovanie, manažment a kontr'!$M$92</f>
        <v>0</v>
      </c>
      <c r="P20" s="260">
        <f t="shared" si="32"/>
        <v>6200</v>
      </c>
      <c r="Q20" s="258">
        <f>'[1]1.Plánovanie, manažment a kontr'!$N$92</f>
        <v>6200</v>
      </c>
      <c r="R20" s="258">
        <f>'[1]1.Plánovanie, manažment a kontr'!$O$92</f>
        <v>0</v>
      </c>
      <c r="S20" s="259">
        <f>'[1]1.Plánovanie, manažment a kontr'!$P$92</f>
        <v>0</v>
      </c>
      <c r="T20" s="260">
        <f t="shared" si="33"/>
        <v>700</v>
      </c>
      <c r="U20" s="258">
        <f>'[1]1.Plánovanie, manažment a kontr'!$Q$92</f>
        <v>700</v>
      </c>
      <c r="V20" s="258">
        <f>'[1]1.Plánovanie, manažment a kontr'!$R$92</f>
        <v>0</v>
      </c>
      <c r="W20" s="259">
        <f>'[1]1.Plánovanie, manažment a kontr'!$S$92</f>
        <v>0</v>
      </c>
      <c r="X20" s="260">
        <f t="shared" si="34"/>
        <v>6900</v>
      </c>
      <c r="Y20" s="258">
        <f>'[1]1.Plánovanie, manažment a kontr'!$T$92</f>
        <v>6900</v>
      </c>
      <c r="Z20" s="258">
        <f>'[1]1.Plánovanie, manažment a kontr'!$U$92</f>
        <v>0</v>
      </c>
      <c r="AA20" s="259">
        <f>'[1]1.Plánovanie, manažment a kontr'!$V$92</f>
        <v>0</v>
      </c>
    </row>
    <row r="21" spans="1:27" ht="16.5" outlineLevel="1" thickBot="1" x14ac:dyDescent="0.3">
      <c r="A21" s="121"/>
      <c r="B21" s="275" t="s">
        <v>167</v>
      </c>
      <c r="C21" s="276" t="s">
        <v>439</v>
      </c>
      <c r="D21" s="269">
        <f t="shared" si="29"/>
        <v>0</v>
      </c>
      <c r="E21" s="270">
        <f>'[1]1.Plánovanie, manažment a kontr'!$E$95</f>
        <v>0</v>
      </c>
      <c r="F21" s="270">
        <f>'[1]1.Plánovanie, manažment a kontr'!$F$95</f>
        <v>0</v>
      </c>
      <c r="G21" s="303">
        <f>'[1]1.Plánovanie, manažment a kontr'!$G$95</f>
        <v>0</v>
      </c>
      <c r="H21" s="269">
        <f t="shared" si="30"/>
        <v>0</v>
      </c>
      <c r="I21" s="270">
        <f>'[1]1.Plánovanie, manažment a kontr'!$H$95</f>
        <v>0</v>
      </c>
      <c r="J21" s="270">
        <f>'[1]1.Plánovanie, manažment a kontr'!$I$95</f>
        <v>0</v>
      </c>
      <c r="K21" s="303">
        <f>'[1]1.Plánovanie, manažment a kontr'!$J$95</f>
        <v>0</v>
      </c>
      <c r="L21" s="269">
        <f t="shared" si="31"/>
        <v>0</v>
      </c>
      <c r="M21" s="270">
        <f>'[1]1.Plánovanie, manažment a kontr'!$K$95</f>
        <v>0</v>
      </c>
      <c r="N21" s="270">
        <f>'[1]1.Plánovanie, manažment a kontr'!$L$95</f>
        <v>0</v>
      </c>
      <c r="O21" s="303">
        <f>'[1]1.Plánovanie, manažment a kontr'!$M$95</f>
        <v>0</v>
      </c>
      <c r="P21" s="269">
        <f t="shared" si="32"/>
        <v>0</v>
      </c>
      <c r="Q21" s="270">
        <f>'[1]1.Plánovanie, manažment a kontr'!$N$95</f>
        <v>0</v>
      </c>
      <c r="R21" s="270">
        <f>'[1]1.Plánovanie, manažment a kontr'!$O$95</f>
        <v>0</v>
      </c>
      <c r="S21" s="303">
        <f>'[1]1.Plánovanie, manažment a kontr'!$P$95</f>
        <v>0</v>
      </c>
      <c r="T21" s="269">
        <f t="shared" si="33"/>
        <v>0</v>
      </c>
      <c r="U21" s="270">
        <f>'[1]1.Plánovanie, manažment a kontr'!$Q$95</f>
        <v>0</v>
      </c>
      <c r="V21" s="270">
        <f>'[1]1.Plánovanie, manažment a kontr'!$R$95</f>
        <v>0</v>
      </c>
      <c r="W21" s="303">
        <f>'[1]1.Plánovanie, manažment a kontr'!$S$95</f>
        <v>0</v>
      </c>
      <c r="X21" s="269">
        <f t="shared" si="34"/>
        <v>0</v>
      </c>
      <c r="Y21" s="270">
        <f>'[1]1.Plánovanie, manažment a kontr'!$T$95</f>
        <v>0</v>
      </c>
      <c r="Z21" s="270">
        <f>'[1]1.Plánovanie, manažment a kontr'!$U$95</f>
        <v>0</v>
      </c>
      <c r="AA21" s="303">
        <f>'[1]1.Plánovanie, manažment a kontr'!$V$95</f>
        <v>0</v>
      </c>
    </row>
    <row r="22" spans="1:27" s="123" customFormat="1" ht="15.75" x14ac:dyDescent="0.25">
      <c r="A22" s="122"/>
      <c r="B22" s="277" t="s">
        <v>169</v>
      </c>
      <c r="C22" s="278"/>
      <c r="D22" s="266">
        <f t="shared" ref="D22:G22" si="35">D23+D32+D35</f>
        <v>42542.48</v>
      </c>
      <c r="E22" s="267">
        <f t="shared" si="35"/>
        <v>42542.48</v>
      </c>
      <c r="F22" s="267">
        <f t="shared" si="35"/>
        <v>0</v>
      </c>
      <c r="G22" s="268">
        <f t="shared" si="35"/>
        <v>0</v>
      </c>
      <c r="H22" s="266">
        <f t="shared" ref="H22:K22" si="36">H23+H32+H35</f>
        <v>40504.659999999996</v>
      </c>
      <c r="I22" s="267">
        <f t="shared" si="36"/>
        <v>40504.659999999996</v>
      </c>
      <c r="J22" s="267">
        <f t="shared" si="36"/>
        <v>0</v>
      </c>
      <c r="K22" s="268">
        <f t="shared" si="36"/>
        <v>0</v>
      </c>
      <c r="L22" s="266">
        <f t="shared" ref="L22:O22" si="37">L23+L32+L35</f>
        <v>42300</v>
      </c>
      <c r="M22" s="267">
        <f t="shared" si="37"/>
        <v>42300</v>
      </c>
      <c r="N22" s="267">
        <f t="shared" si="37"/>
        <v>0</v>
      </c>
      <c r="O22" s="268">
        <f t="shared" si="37"/>
        <v>0</v>
      </c>
      <c r="P22" s="266">
        <f t="shared" ref="P22:S22" si="38">P23+P32+P35</f>
        <v>42510</v>
      </c>
      <c r="Q22" s="267">
        <f t="shared" si="38"/>
        <v>42510</v>
      </c>
      <c r="R22" s="267">
        <f t="shared" si="38"/>
        <v>0</v>
      </c>
      <c r="S22" s="268">
        <f t="shared" si="38"/>
        <v>0</v>
      </c>
      <c r="T22" s="266">
        <f t="shared" ref="T22:W22" si="39">T23+T32+T35</f>
        <v>3000</v>
      </c>
      <c r="U22" s="267">
        <f t="shared" si="39"/>
        <v>3000</v>
      </c>
      <c r="V22" s="267">
        <f t="shared" si="39"/>
        <v>0</v>
      </c>
      <c r="W22" s="268">
        <f t="shared" si="39"/>
        <v>0</v>
      </c>
      <c r="X22" s="266">
        <f t="shared" ref="X22:AA22" si="40">X23+X32+X35</f>
        <v>45510</v>
      </c>
      <c r="Y22" s="267">
        <f t="shared" si="40"/>
        <v>45510</v>
      </c>
      <c r="Z22" s="267">
        <f t="shared" si="40"/>
        <v>0</v>
      </c>
      <c r="AA22" s="268">
        <f t="shared" si="40"/>
        <v>0</v>
      </c>
    </row>
    <row r="23" spans="1:27" ht="15.75" x14ac:dyDescent="0.25">
      <c r="A23" s="121"/>
      <c r="B23" s="273" t="s">
        <v>170</v>
      </c>
      <c r="C23" s="274" t="s">
        <v>171</v>
      </c>
      <c r="D23" s="260">
        <f t="shared" ref="D23:G23" si="41">SUM(D24:D31)</f>
        <v>30388.03</v>
      </c>
      <c r="E23" s="258">
        <f t="shared" si="41"/>
        <v>30388.03</v>
      </c>
      <c r="F23" s="258">
        <f t="shared" si="41"/>
        <v>0</v>
      </c>
      <c r="G23" s="259">
        <f t="shared" si="41"/>
        <v>0</v>
      </c>
      <c r="H23" s="260">
        <f t="shared" ref="H23:K23" si="42">SUM(H24:H31)</f>
        <v>27427.09</v>
      </c>
      <c r="I23" s="258">
        <f t="shared" si="42"/>
        <v>27427.09</v>
      </c>
      <c r="J23" s="258">
        <f t="shared" si="42"/>
        <v>0</v>
      </c>
      <c r="K23" s="259">
        <f t="shared" si="42"/>
        <v>0</v>
      </c>
      <c r="L23" s="260">
        <f t="shared" ref="L23:O23" si="43">SUM(L24:L31)</f>
        <v>24100</v>
      </c>
      <c r="M23" s="258">
        <f t="shared" si="43"/>
        <v>24100</v>
      </c>
      <c r="N23" s="258">
        <f t="shared" si="43"/>
        <v>0</v>
      </c>
      <c r="O23" s="259">
        <f t="shared" si="43"/>
        <v>0</v>
      </c>
      <c r="P23" s="260">
        <f t="shared" ref="P23:S23" si="44">SUM(P24:P31)</f>
        <v>22310</v>
      </c>
      <c r="Q23" s="258">
        <f t="shared" si="44"/>
        <v>22310</v>
      </c>
      <c r="R23" s="258">
        <f t="shared" si="44"/>
        <v>0</v>
      </c>
      <c r="S23" s="259">
        <f t="shared" si="44"/>
        <v>0</v>
      </c>
      <c r="T23" s="260">
        <f t="shared" ref="T23:W23" si="45">SUM(T24:T31)</f>
        <v>0</v>
      </c>
      <c r="U23" s="258">
        <f t="shared" si="45"/>
        <v>0</v>
      </c>
      <c r="V23" s="258">
        <f t="shared" si="45"/>
        <v>0</v>
      </c>
      <c r="W23" s="259">
        <f t="shared" si="45"/>
        <v>0</v>
      </c>
      <c r="X23" s="260">
        <f t="shared" ref="X23:AA23" si="46">SUM(X24:X31)</f>
        <v>22310</v>
      </c>
      <c r="Y23" s="258">
        <f t="shared" si="46"/>
        <v>22310</v>
      </c>
      <c r="Z23" s="258">
        <f t="shared" si="46"/>
        <v>0</v>
      </c>
      <c r="AA23" s="259">
        <f t="shared" si="46"/>
        <v>0</v>
      </c>
    </row>
    <row r="24" spans="1:27" ht="15.75" x14ac:dyDescent="0.25">
      <c r="A24" s="124"/>
      <c r="B24" s="273">
        <v>1</v>
      </c>
      <c r="C24" s="274" t="s">
        <v>172</v>
      </c>
      <c r="D24" s="260">
        <f>SUM(E24:G24)</f>
        <v>340.06</v>
      </c>
      <c r="E24" s="258">
        <f>'[1]2. Propagácia a marketing'!$E$5</f>
        <v>340.06</v>
      </c>
      <c r="F24" s="258">
        <f>'[1]2. Propagácia a marketing'!$F$5</f>
        <v>0</v>
      </c>
      <c r="G24" s="259">
        <f>'[1]2. Propagácia a marketing'!$G$5</f>
        <v>0</v>
      </c>
      <c r="H24" s="260">
        <f>SUM(I24:K24)</f>
        <v>340.06</v>
      </c>
      <c r="I24" s="258">
        <f>'[1]2. Propagácia a marketing'!$H$5</f>
        <v>340.06</v>
      </c>
      <c r="J24" s="258">
        <f>'[1]2. Propagácia a marketing'!$I$5</f>
        <v>0</v>
      </c>
      <c r="K24" s="259">
        <f>'[1]2. Propagácia a marketing'!$J$5</f>
        <v>0</v>
      </c>
      <c r="L24" s="260">
        <f>SUM(M24:O24)</f>
        <v>350</v>
      </c>
      <c r="M24" s="258">
        <f>'[1]2. Propagácia a marketing'!$K$5</f>
        <v>350</v>
      </c>
      <c r="N24" s="258">
        <f>'[1]2. Propagácia a marketing'!$L$5</f>
        <v>0</v>
      </c>
      <c r="O24" s="259">
        <f>'[1]2. Propagácia a marketing'!$M$5</f>
        <v>0</v>
      </c>
      <c r="P24" s="260">
        <f>SUM(Q24:S24)</f>
        <v>350</v>
      </c>
      <c r="Q24" s="258">
        <f>'[1]2. Propagácia a marketing'!$N$5</f>
        <v>350</v>
      </c>
      <c r="R24" s="258">
        <f>'[1]2. Propagácia a marketing'!$O$5</f>
        <v>0</v>
      </c>
      <c r="S24" s="259">
        <f>'[1]2. Propagácia a marketing'!$P$5</f>
        <v>0</v>
      </c>
      <c r="T24" s="260">
        <f>SUM(U24:W24)</f>
        <v>0</v>
      </c>
      <c r="U24" s="258">
        <f>'[1]2. Propagácia a marketing'!$Q$5</f>
        <v>0</v>
      </c>
      <c r="V24" s="258">
        <f>'[1]2. Propagácia a marketing'!$R$5</f>
        <v>0</v>
      </c>
      <c r="W24" s="259">
        <f>'[1]2. Propagácia a marketing'!$S$5</f>
        <v>0</v>
      </c>
      <c r="X24" s="260">
        <f>SUM(Y24:AA24)</f>
        <v>350</v>
      </c>
      <c r="Y24" s="258">
        <f>'[1]2. Propagácia a marketing'!$T$5</f>
        <v>350</v>
      </c>
      <c r="Z24" s="258">
        <f>'[1]2. Propagácia a marketing'!$U$5</f>
        <v>0</v>
      </c>
      <c r="AA24" s="259">
        <f>'[1]2. Propagácia a marketing'!$V$5</f>
        <v>0</v>
      </c>
    </row>
    <row r="25" spans="1:27" ht="15.75" x14ac:dyDescent="0.25">
      <c r="A25" s="121"/>
      <c r="B25" s="273">
        <v>2</v>
      </c>
      <c r="C25" s="279" t="s">
        <v>173</v>
      </c>
      <c r="D25" s="260">
        <f t="shared" ref="D25:D31" si="47">SUM(E25:G25)</f>
        <v>4000</v>
      </c>
      <c r="E25" s="258">
        <f>'[1]2. Propagácia a marketing'!$E$7</f>
        <v>4000</v>
      </c>
      <c r="F25" s="258">
        <f>'[1]2. Propagácia a marketing'!$F$7</f>
        <v>0</v>
      </c>
      <c r="G25" s="259">
        <f>'[1]2. Propagácia a marketing'!$YA$7</f>
        <v>0</v>
      </c>
      <c r="H25" s="260">
        <f t="shared" ref="H25:H31" si="48">SUM(I25:K25)</f>
        <v>3336</v>
      </c>
      <c r="I25" s="258">
        <f>'[1]2. Propagácia a marketing'!$H$7</f>
        <v>3336</v>
      </c>
      <c r="J25" s="258">
        <f>'[1]2. Propagácia a marketing'!$I$7</f>
        <v>0</v>
      </c>
      <c r="K25" s="259">
        <f>'[1]2. Propagácia a marketing'!$J$7</f>
        <v>0</v>
      </c>
      <c r="L25" s="260">
        <f t="shared" ref="L25:L31" si="49">SUM(M25:O25)</f>
        <v>7200</v>
      </c>
      <c r="M25" s="258">
        <f>'[1]2. Propagácia a marketing'!$K$7</f>
        <v>7200</v>
      </c>
      <c r="N25" s="258">
        <f>'[1]2. Propagácia a marketing'!$L$7</f>
        <v>0</v>
      </c>
      <c r="O25" s="259">
        <f>'[1]2. Propagácia a marketing'!$M$7</f>
        <v>0</v>
      </c>
      <c r="P25" s="260">
        <f t="shared" ref="P25:P31" si="50">SUM(Q25:S25)</f>
        <v>5200</v>
      </c>
      <c r="Q25" s="258">
        <f>'[1]2. Propagácia a marketing'!$N$7</f>
        <v>5200</v>
      </c>
      <c r="R25" s="258">
        <f>'[1]2. Propagácia a marketing'!$O$7</f>
        <v>0</v>
      </c>
      <c r="S25" s="259">
        <f>'[1]2. Propagácia a marketing'!$P$7</f>
        <v>0</v>
      </c>
      <c r="T25" s="260">
        <f t="shared" ref="T25:T31" si="51">SUM(U25:W25)</f>
        <v>0</v>
      </c>
      <c r="U25" s="258">
        <f>'[1]2. Propagácia a marketing'!$Q$7</f>
        <v>0</v>
      </c>
      <c r="V25" s="258">
        <f>'[1]2. Propagácia a marketing'!$R$7</f>
        <v>0</v>
      </c>
      <c r="W25" s="259">
        <f>'[1]2. Propagácia a marketing'!$S$7</f>
        <v>0</v>
      </c>
      <c r="X25" s="260">
        <f t="shared" ref="X25:X31" si="52">SUM(Y25:AA25)</f>
        <v>5200</v>
      </c>
      <c r="Y25" s="258">
        <f>'[1]2. Propagácia a marketing'!$T$7</f>
        <v>5200</v>
      </c>
      <c r="Z25" s="258">
        <f>'[1]2. Propagácia a marketing'!$U$7</f>
        <v>0</v>
      </c>
      <c r="AA25" s="259">
        <f>'[1]2. Propagácia a marketing'!$V$7</f>
        <v>0</v>
      </c>
    </row>
    <row r="26" spans="1:27" ht="15.75" x14ac:dyDescent="0.25">
      <c r="A26" s="121"/>
      <c r="B26" s="273">
        <v>3</v>
      </c>
      <c r="C26" s="274" t="s">
        <v>174</v>
      </c>
      <c r="D26" s="260">
        <f t="shared" si="47"/>
        <v>13322.97</v>
      </c>
      <c r="E26" s="258">
        <f>'[1]2. Propagácia a marketing'!$E$12</f>
        <v>13322.97</v>
      </c>
      <c r="F26" s="258">
        <f>'[1]2. Propagácia a marketing'!$F$12</f>
        <v>0</v>
      </c>
      <c r="G26" s="259">
        <f>'[1]2. Propagácia a marketing'!$G$12</f>
        <v>0</v>
      </c>
      <c r="H26" s="260">
        <f t="shared" si="48"/>
        <v>14176.03</v>
      </c>
      <c r="I26" s="258">
        <f>'[1]2. Propagácia a marketing'!$H$12</f>
        <v>14176.03</v>
      </c>
      <c r="J26" s="258">
        <f>'[1]2. Propagácia a marketing'!$I$12</f>
        <v>0</v>
      </c>
      <c r="K26" s="259">
        <f>'[1]2. Propagácia a marketing'!$J$12</f>
        <v>0</v>
      </c>
      <c r="L26" s="260">
        <f t="shared" si="49"/>
        <v>10550</v>
      </c>
      <c r="M26" s="258">
        <f>'[1]2. Propagácia a marketing'!$K$12</f>
        <v>10550</v>
      </c>
      <c r="N26" s="258">
        <f>'[1]2. Propagácia a marketing'!$L$12</f>
        <v>0</v>
      </c>
      <c r="O26" s="259">
        <f>'[1]2. Propagácia a marketing'!$M$12</f>
        <v>0</v>
      </c>
      <c r="P26" s="260">
        <f t="shared" si="50"/>
        <v>10550</v>
      </c>
      <c r="Q26" s="258">
        <f>'[1]2. Propagácia a marketing'!$N$12</f>
        <v>10550</v>
      </c>
      <c r="R26" s="258">
        <f>'[1]2. Propagácia a marketing'!$O$12</f>
        <v>0</v>
      </c>
      <c r="S26" s="259">
        <f>'[1]2. Propagácia a marketing'!$P$12</f>
        <v>0</v>
      </c>
      <c r="T26" s="260">
        <f t="shared" si="51"/>
        <v>0</v>
      </c>
      <c r="U26" s="258">
        <f>'[1]2. Propagácia a marketing'!$Q$12</f>
        <v>0</v>
      </c>
      <c r="V26" s="258">
        <f>'[1]2. Propagácia a marketing'!$R$12</f>
        <v>0</v>
      </c>
      <c r="W26" s="259">
        <f>'[1]2. Propagácia a marketing'!$S$12</f>
        <v>0</v>
      </c>
      <c r="X26" s="260">
        <f t="shared" si="52"/>
        <v>10550</v>
      </c>
      <c r="Y26" s="258">
        <f>'[1]2. Propagácia a marketing'!$T$12</f>
        <v>10550</v>
      </c>
      <c r="Z26" s="258">
        <f>'[1]2. Propagácia a marketing'!$U$12</f>
        <v>0</v>
      </c>
      <c r="AA26" s="259">
        <f>'[1]2. Propagácia a marketing'!$V$12</f>
        <v>0</v>
      </c>
    </row>
    <row r="27" spans="1:27" ht="15.75" x14ac:dyDescent="0.25">
      <c r="A27" s="121"/>
      <c r="B27" s="273">
        <v>4</v>
      </c>
      <c r="C27" s="274" t="s">
        <v>175</v>
      </c>
      <c r="D27" s="260">
        <f t="shared" si="47"/>
        <v>0</v>
      </c>
      <c r="E27" s="258">
        <f>'[1]2. Propagácia a marketing'!$E$20</f>
        <v>0</v>
      </c>
      <c r="F27" s="258">
        <f>'[1]2. Propagácia a marketing'!$F$20</f>
        <v>0</v>
      </c>
      <c r="G27" s="259">
        <f>'[1]2. Propagácia a marketing'!$G$20</f>
        <v>0</v>
      </c>
      <c r="H27" s="260">
        <f t="shared" si="48"/>
        <v>0</v>
      </c>
      <c r="I27" s="258">
        <f>'[1]2. Propagácia a marketing'!$H$20</f>
        <v>0</v>
      </c>
      <c r="J27" s="258">
        <f>'[1]2. Propagácia a marketing'!$I$20</f>
        <v>0</v>
      </c>
      <c r="K27" s="259">
        <f>'[1]2. Propagácia a marketing'!$J$20</f>
        <v>0</v>
      </c>
      <c r="L27" s="260">
        <f t="shared" si="49"/>
        <v>0</v>
      </c>
      <c r="M27" s="258">
        <f>'[1]2. Propagácia a marketing'!$K$20</f>
        <v>0</v>
      </c>
      <c r="N27" s="258">
        <f>'[1]2. Propagácia a marketing'!$L$20</f>
        <v>0</v>
      </c>
      <c r="O27" s="259">
        <f>'[1]2. Propagácia a marketing'!$M$20</f>
        <v>0</v>
      </c>
      <c r="P27" s="260">
        <f t="shared" si="50"/>
        <v>0</v>
      </c>
      <c r="Q27" s="258">
        <f>'[1]2. Propagácia a marketing'!$N$20</f>
        <v>0</v>
      </c>
      <c r="R27" s="258">
        <f>'[1]2. Propagácia a marketing'!$O$20</f>
        <v>0</v>
      </c>
      <c r="S27" s="259">
        <f>'[1]2. Propagácia a marketing'!$P$20</f>
        <v>0</v>
      </c>
      <c r="T27" s="260">
        <f t="shared" si="51"/>
        <v>0</v>
      </c>
      <c r="U27" s="258">
        <f>'[1]2. Propagácia a marketing'!$Q$20</f>
        <v>0</v>
      </c>
      <c r="V27" s="258">
        <f>'[1]2. Propagácia a marketing'!$R$20</f>
        <v>0</v>
      </c>
      <c r="W27" s="259">
        <f>'[1]2. Propagácia a marketing'!$S$20</f>
        <v>0</v>
      </c>
      <c r="X27" s="260">
        <f t="shared" si="52"/>
        <v>0</v>
      </c>
      <c r="Y27" s="258">
        <f>'[1]2. Propagácia a marketing'!$T$20</f>
        <v>0</v>
      </c>
      <c r="Z27" s="258">
        <f>'[1]2. Propagácia a marketing'!$U$20</f>
        <v>0</v>
      </c>
      <c r="AA27" s="259">
        <f>'[1]2. Propagácia a marketing'!$V$20</f>
        <v>0</v>
      </c>
    </row>
    <row r="28" spans="1:27" ht="15.75" x14ac:dyDescent="0.25">
      <c r="A28" s="121"/>
      <c r="B28" s="273">
        <v>5</v>
      </c>
      <c r="C28" s="274" t="s">
        <v>176</v>
      </c>
      <c r="D28" s="260">
        <f t="shared" si="47"/>
        <v>0</v>
      </c>
      <c r="E28" s="258">
        <f>'[1]2. Propagácia a marketing'!$E$22</f>
        <v>0</v>
      </c>
      <c r="F28" s="258">
        <f>'[1]2. Propagácia a marketing'!$F$22</f>
        <v>0</v>
      </c>
      <c r="G28" s="259">
        <f>'[1]2. Propagácia a marketing'!$G$22</f>
        <v>0</v>
      </c>
      <c r="H28" s="260">
        <f t="shared" si="48"/>
        <v>0</v>
      </c>
      <c r="I28" s="258">
        <f>'[1]2. Propagácia a marketing'!$H$22</f>
        <v>0</v>
      </c>
      <c r="J28" s="258">
        <f>'[1]2. Propagácia a marketing'!$I$22</f>
        <v>0</v>
      </c>
      <c r="K28" s="259">
        <f>'[1]2. Propagácia a marketing'!$J$22</f>
        <v>0</v>
      </c>
      <c r="L28" s="260">
        <f t="shared" si="49"/>
        <v>0</v>
      </c>
      <c r="M28" s="258">
        <f>'[1]2. Propagácia a marketing'!$K$22</f>
        <v>0</v>
      </c>
      <c r="N28" s="258">
        <f>'[1]2. Propagácia a marketing'!$L$22</f>
        <v>0</v>
      </c>
      <c r="O28" s="259">
        <f>'[1]2. Propagácia a marketing'!$M$22</f>
        <v>0</v>
      </c>
      <c r="P28" s="260">
        <f t="shared" si="50"/>
        <v>0</v>
      </c>
      <c r="Q28" s="258">
        <f>'[1]2. Propagácia a marketing'!$N$22</f>
        <v>0</v>
      </c>
      <c r="R28" s="258">
        <f>'[1]2. Propagácia a marketing'!$O$22</f>
        <v>0</v>
      </c>
      <c r="S28" s="259">
        <f>'[1]2. Propagácia a marketing'!$P$22</f>
        <v>0</v>
      </c>
      <c r="T28" s="260">
        <f t="shared" si="51"/>
        <v>0</v>
      </c>
      <c r="U28" s="258">
        <f>'[1]2. Propagácia a marketing'!$Q$22</f>
        <v>0</v>
      </c>
      <c r="V28" s="258">
        <f>'[1]2. Propagácia a marketing'!$R$22</f>
        <v>0</v>
      </c>
      <c r="W28" s="259">
        <f>'[1]2. Propagácia a marketing'!$S$22</f>
        <v>0</v>
      </c>
      <c r="X28" s="260">
        <f t="shared" si="52"/>
        <v>0</v>
      </c>
      <c r="Y28" s="258">
        <f>'[1]2. Propagácia a marketing'!$T$22</f>
        <v>0</v>
      </c>
      <c r="Z28" s="258">
        <f>'[1]2. Propagácia a marketing'!$U$22</f>
        <v>0</v>
      </c>
      <c r="AA28" s="259">
        <f>'[1]2. Propagácia a marketing'!$V$22</f>
        <v>0</v>
      </c>
    </row>
    <row r="29" spans="1:27" ht="15.75" x14ac:dyDescent="0.25">
      <c r="A29" s="121"/>
      <c r="B29" s="273">
        <v>6</v>
      </c>
      <c r="C29" s="274" t="s">
        <v>177</v>
      </c>
      <c r="D29" s="260">
        <f t="shared" si="47"/>
        <v>0</v>
      </c>
      <c r="E29" s="258">
        <f>'[1]2. Propagácia a marketing'!$E$25</f>
        <v>0</v>
      </c>
      <c r="F29" s="258">
        <f>'[1]2. Propagácia a marketing'!$F$25</f>
        <v>0</v>
      </c>
      <c r="G29" s="259">
        <f>'[1]2. Propagácia a marketing'!$G$25</f>
        <v>0</v>
      </c>
      <c r="H29" s="260">
        <f t="shared" si="48"/>
        <v>0</v>
      </c>
      <c r="I29" s="258">
        <f>'[1]2. Propagácia a marketing'!$H$25</f>
        <v>0</v>
      </c>
      <c r="J29" s="258">
        <f>'[1]2. Propagácia a marketing'!$I$25</f>
        <v>0</v>
      </c>
      <c r="K29" s="259">
        <f>'[1]2. Propagácia a marketing'!$J$25</f>
        <v>0</v>
      </c>
      <c r="L29" s="260">
        <f t="shared" si="49"/>
        <v>0</v>
      </c>
      <c r="M29" s="258">
        <f>'[1]2. Propagácia a marketing'!$K$25</f>
        <v>0</v>
      </c>
      <c r="N29" s="258">
        <f>'[1]2. Propagácia a marketing'!$L$25</f>
        <v>0</v>
      </c>
      <c r="O29" s="259">
        <f>'[1]2. Propagácia a marketing'!$M$25</f>
        <v>0</v>
      </c>
      <c r="P29" s="260">
        <f t="shared" si="50"/>
        <v>0</v>
      </c>
      <c r="Q29" s="258">
        <f>'[1]2. Propagácia a marketing'!$N$25</f>
        <v>0</v>
      </c>
      <c r="R29" s="258">
        <f>'[1]2. Propagácia a marketing'!$O$25</f>
        <v>0</v>
      </c>
      <c r="S29" s="259">
        <f>'[1]2. Propagácia a marketing'!$P$25</f>
        <v>0</v>
      </c>
      <c r="T29" s="260">
        <f t="shared" si="51"/>
        <v>0</v>
      </c>
      <c r="U29" s="258">
        <f>'[1]2. Propagácia a marketing'!$Q$25</f>
        <v>0</v>
      </c>
      <c r="V29" s="258">
        <f>'[1]2. Propagácia a marketing'!$R$25</f>
        <v>0</v>
      </c>
      <c r="W29" s="259">
        <f>'[1]2. Propagácia a marketing'!$S$25</f>
        <v>0</v>
      </c>
      <c r="X29" s="260">
        <f t="shared" si="52"/>
        <v>0</v>
      </c>
      <c r="Y29" s="258">
        <f>'[1]2. Propagácia a marketing'!$T$25</f>
        <v>0</v>
      </c>
      <c r="Z29" s="258">
        <f>'[1]2. Propagácia a marketing'!$U$25</f>
        <v>0</v>
      </c>
      <c r="AA29" s="259">
        <f>'[1]2. Propagácia a marketing'!$V$25</f>
        <v>0</v>
      </c>
    </row>
    <row r="30" spans="1:27" ht="15.75" x14ac:dyDescent="0.25">
      <c r="A30" s="121"/>
      <c r="B30" s="273">
        <v>7</v>
      </c>
      <c r="C30" s="274" t="s">
        <v>178</v>
      </c>
      <c r="D30" s="260">
        <f t="shared" si="47"/>
        <v>4725</v>
      </c>
      <c r="E30" s="258">
        <f>'[1]2. Propagácia a marketing'!$E$27</f>
        <v>4725</v>
      </c>
      <c r="F30" s="258">
        <f>'[1]2. Propagácia a marketing'!$F$27</f>
        <v>0</v>
      </c>
      <c r="G30" s="259">
        <f>'[1]2. Propagácia a marketing'!$G$27</f>
        <v>0</v>
      </c>
      <c r="H30" s="260">
        <f t="shared" si="48"/>
        <v>1575</v>
      </c>
      <c r="I30" s="258">
        <f>'[1]2. Propagácia a marketing'!$H$27</f>
        <v>1575</v>
      </c>
      <c r="J30" s="258">
        <f>'[1]2. Propagácia a marketing'!$I$27</f>
        <v>0</v>
      </c>
      <c r="K30" s="259">
        <f>'[1]2. Propagácia a marketing'!$J$27</f>
        <v>0</v>
      </c>
      <c r="L30" s="260">
        <f t="shared" si="49"/>
        <v>2000</v>
      </c>
      <c r="M30" s="258">
        <f>'[1]2. Propagácia a marketing'!$K$27</f>
        <v>2000</v>
      </c>
      <c r="N30" s="258">
        <f>'[1]2. Propagácia a marketing'!$L$27</f>
        <v>0</v>
      </c>
      <c r="O30" s="259">
        <f>'[1]2. Propagácia a marketing'!$M$27</f>
        <v>0</v>
      </c>
      <c r="P30" s="260">
        <f t="shared" si="50"/>
        <v>2210</v>
      </c>
      <c r="Q30" s="258">
        <f>'[1]2. Propagácia a marketing'!$N$27</f>
        <v>2210</v>
      </c>
      <c r="R30" s="258">
        <f>'[1]2. Propagácia a marketing'!$O$27</f>
        <v>0</v>
      </c>
      <c r="S30" s="259">
        <f>'[1]2. Propagácia a marketing'!$P$27</f>
        <v>0</v>
      </c>
      <c r="T30" s="260">
        <f t="shared" si="51"/>
        <v>0</v>
      </c>
      <c r="U30" s="258">
        <f>'[1]2. Propagácia a marketing'!$Q$27</f>
        <v>0</v>
      </c>
      <c r="V30" s="258">
        <f>'[1]2. Propagácia a marketing'!$R$27</f>
        <v>0</v>
      </c>
      <c r="W30" s="259">
        <f>'[1]2. Propagácia a marketing'!$S$27</f>
        <v>0</v>
      </c>
      <c r="X30" s="260">
        <f t="shared" si="52"/>
        <v>2210</v>
      </c>
      <c r="Y30" s="258">
        <f>'[1]2. Propagácia a marketing'!$T$27</f>
        <v>2210</v>
      </c>
      <c r="Z30" s="258">
        <f>'[1]2. Propagácia a marketing'!$U$27</f>
        <v>0</v>
      </c>
      <c r="AA30" s="259">
        <f>'[1]2. Propagácia a marketing'!$V$27</f>
        <v>0</v>
      </c>
    </row>
    <row r="31" spans="1:27" ht="15.75" outlineLevel="1" x14ac:dyDescent="0.25">
      <c r="A31" s="121"/>
      <c r="B31" s="273">
        <v>8</v>
      </c>
      <c r="C31" s="274" t="s">
        <v>440</v>
      </c>
      <c r="D31" s="260">
        <f t="shared" si="47"/>
        <v>8000</v>
      </c>
      <c r="E31" s="258">
        <f>'[1]2. Propagácia a marketing'!$E$29</f>
        <v>8000</v>
      </c>
      <c r="F31" s="258">
        <f>'[1]2. Propagácia a marketing'!$F$29</f>
        <v>0</v>
      </c>
      <c r="G31" s="259">
        <f>'[1]2. Propagácia a marketing'!$G$29</f>
        <v>0</v>
      </c>
      <c r="H31" s="260">
        <f t="shared" si="48"/>
        <v>8000</v>
      </c>
      <c r="I31" s="258">
        <f>'[1]2. Propagácia a marketing'!$H$29</f>
        <v>8000</v>
      </c>
      <c r="J31" s="258">
        <f>'[1]2. Propagácia a marketing'!$I$29</f>
        <v>0</v>
      </c>
      <c r="K31" s="259">
        <f>'[1]2. Propagácia a marketing'!$J$29</f>
        <v>0</v>
      </c>
      <c r="L31" s="260">
        <f t="shared" si="49"/>
        <v>4000</v>
      </c>
      <c r="M31" s="258">
        <f>'[1]2. Propagácia a marketing'!$K$29</f>
        <v>4000</v>
      </c>
      <c r="N31" s="258">
        <f>'[1]2. Propagácia a marketing'!$L$29</f>
        <v>0</v>
      </c>
      <c r="O31" s="259">
        <f>'[1]2. Propagácia a marketing'!$M$29</f>
        <v>0</v>
      </c>
      <c r="P31" s="260">
        <f t="shared" si="50"/>
        <v>4000</v>
      </c>
      <c r="Q31" s="258">
        <f>'[1]2. Propagácia a marketing'!$N$29</f>
        <v>4000</v>
      </c>
      <c r="R31" s="258">
        <f>'[1]2. Propagácia a marketing'!$O$29</f>
        <v>0</v>
      </c>
      <c r="S31" s="259">
        <f>'[1]2. Propagácia a marketing'!$P$29</f>
        <v>0</v>
      </c>
      <c r="T31" s="260">
        <f t="shared" si="51"/>
        <v>0</v>
      </c>
      <c r="U31" s="258">
        <f>'[1]2. Propagácia a marketing'!$Q$29</f>
        <v>0</v>
      </c>
      <c r="V31" s="258">
        <f>'[1]2. Propagácia a marketing'!$R$29</f>
        <v>0</v>
      </c>
      <c r="W31" s="259">
        <f>'[1]2. Propagácia a marketing'!$S$29</f>
        <v>0</v>
      </c>
      <c r="X31" s="260">
        <f t="shared" si="52"/>
        <v>4000</v>
      </c>
      <c r="Y31" s="258">
        <f>'[1]2. Propagácia a marketing'!$T$29</f>
        <v>4000</v>
      </c>
      <c r="Z31" s="258">
        <f>'[1]2. Propagácia a marketing'!$U$29</f>
        <v>0</v>
      </c>
      <c r="AA31" s="259">
        <f>'[1]2. Propagácia a marketing'!$V$29</f>
        <v>0</v>
      </c>
    </row>
    <row r="32" spans="1:27" ht="15.75" x14ac:dyDescent="0.25">
      <c r="B32" s="273" t="s">
        <v>180</v>
      </c>
      <c r="C32" s="274" t="s">
        <v>181</v>
      </c>
      <c r="D32" s="260">
        <f t="shared" ref="D32:G32" si="53">SUM(D33:D34)</f>
        <v>8249.58</v>
      </c>
      <c r="E32" s="258">
        <f t="shared" si="53"/>
        <v>8249.58</v>
      </c>
      <c r="F32" s="258">
        <f t="shared" si="53"/>
        <v>0</v>
      </c>
      <c r="G32" s="259">
        <f t="shared" si="53"/>
        <v>0</v>
      </c>
      <c r="H32" s="260">
        <f t="shared" ref="H32:K32" si="54">SUM(H33:H34)</f>
        <v>8286.25</v>
      </c>
      <c r="I32" s="258">
        <f t="shared" si="54"/>
        <v>8286.25</v>
      </c>
      <c r="J32" s="258">
        <f t="shared" si="54"/>
        <v>0</v>
      </c>
      <c r="K32" s="259">
        <f t="shared" si="54"/>
        <v>0</v>
      </c>
      <c r="L32" s="260">
        <f t="shared" ref="L32:O32" si="55">SUM(L33:L34)</f>
        <v>10300</v>
      </c>
      <c r="M32" s="258">
        <f t="shared" si="55"/>
        <v>10300</v>
      </c>
      <c r="N32" s="258">
        <f t="shared" si="55"/>
        <v>0</v>
      </c>
      <c r="O32" s="259">
        <f t="shared" si="55"/>
        <v>0</v>
      </c>
      <c r="P32" s="260">
        <f t="shared" ref="P32:S32" si="56">SUM(P33:P34)</f>
        <v>12601</v>
      </c>
      <c r="Q32" s="258">
        <f t="shared" si="56"/>
        <v>12601</v>
      </c>
      <c r="R32" s="258">
        <f t="shared" si="56"/>
        <v>0</v>
      </c>
      <c r="S32" s="259">
        <f t="shared" si="56"/>
        <v>0</v>
      </c>
      <c r="T32" s="260">
        <f t="shared" ref="T32:W32" si="57">SUM(T33:T34)</f>
        <v>3000</v>
      </c>
      <c r="U32" s="258">
        <f t="shared" si="57"/>
        <v>3000</v>
      </c>
      <c r="V32" s="258">
        <f t="shared" si="57"/>
        <v>0</v>
      </c>
      <c r="W32" s="259">
        <f t="shared" si="57"/>
        <v>0</v>
      </c>
      <c r="X32" s="260">
        <f t="shared" ref="X32:AA32" si="58">SUM(X33:X34)</f>
        <v>15601</v>
      </c>
      <c r="Y32" s="258">
        <f t="shared" si="58"/>
        <v>15601</v>
      </c>
      <c r="Z32" s="258">
        <f t="shared" si="58"/>
        <v>0</v>
      </c>
      <c r="AA32" s="259">
        <f t="shared" si="58"/>
        <v>0</v>
      </c>
    </row>
    <row r="33" spans="1:27" ht="15.75" x14ac:dyDescent="0.25">
      <c r="B33" s="273">
        <v>1</v>
      </c>
      <c r="C33" s="274" t="s">
        <v>182</v>
      </c>
      <c r="D33" s="260">
        <f>SUM(E33:G33)</f>
        <v>6049.58</v>
      </c>
      <c r="E33" s="258">
        <f>'[1]2. Propagácia a marketing'!$E$32</f>
        <v>6049.58</v>
      </c>
      <c r="F33" s="258">
        <f>'[1]2. Propagácia a marketing'!$F$32</f>
        <v>0</v>
      </c>
      <c r="G33" s="259">
        <f>'[1]2. Propagácia a marketing'!$G$32</f>
        <v>0</v>
      </c>
      <c r="H33" s="260">
        <f>SUM(I33:K33)</f>
        <v>8286.25</v>
      </c>
      <c r="I33" s="258">
        <f>'[1]2. Propagácia a marketing'!$H$32</f>
        <v>8286.25</v>
      </c>
      <c r="J33" s="258">
        <f>'[1]2. Propagácia a marketing'!$I$32</f>
        <v>0</v>
      </c>
      <c r="K33" s="259">
        <f>'[1]2. Propagácia a marketing'!$J$32</f>
        <v>0</v>
      </c>
      <c r="L33" s="260">
        <f>SUM(M33:O33)</f>
        <v>8800</v>
      </c>
      <c r="M33" s="258">
        <f>'[1]2. Propagácia a marketing'!$K$32</f>
        <v>8800</v>
      </c>
      <c r="N33" s="258">
        <f>'[1]2. Propagácia a marketing'!$L$32</f>
        <v>0</v>
      </c>
      <c r="O33" s="259">
        <f>'[1]2. Propagácia a marketing'!$M$32</f>
        <v>0</v>
      </c>
      <c r="P33" s="260">
        <f>SUM(Q33:S33)</f>
        <v>11101</v>
      </c>
      <c r="Q33" s="258">
        <f>'[1]2. Propagácia a marketing'!$N$32</f>
        <v>11101</v>
      </c>
      <c r="R33" s="258">
        <f>'[1]2. Propagácia a marketing'!$O$32</f>
        <v>0</v>
      </c>
      <c r="S33" s="259">
        <f>'[1]2. Propagácia a marketing'!$P$32</f>
        <v>0</v>
      </c>
      <c r="T33" s="260">
        <f>SUM(U33:W33)</f>
        <v>3000</v>
      </c>
      <c r="U33" s="258">
        <f>'[1]2. Propagácia a marketing'!$Q$32</f>
        <v>3000</v>
      </c>
      <c r="V33" s="258">
        <f>'[1]2. Propagácia a marketing'!$R$32</f>
        <v>0</v>
      </c>
      <c r="W33" s="259">
        <f>'[1]2. Propagácia a marketing'!$S$32</f>
        <v>0</v>
      </c>
      <c r="X33" s="260">
        <f>SUM(Y33:AA33)</f>
        <v>14101</v>
      </c>
      <c r="Y33" s="258">
        <f>'[1]2. Propagácia a marketing'!$T$32</f>
        <v>14101</v>
      </c>
      <c r="Z33" s="258">
        <f>'[1]2. Propagácia a marketing'!$U$32</f>
        <v>0</v>
      </c>
      <c r="AA33" s="259">
        <f>'[1]2. Propagácia a marketing'!$V$32</f>
        <v>0</v>
      </c>
    </row>
    <row r="34" spans="1:27" ht="15.75" x14ac:dyDescent="0.25">
      <c r="B34" s="273">
        <v>2</v>
      </c>
      <c r="C34" s="274" t="s">
        <v>183</v>
      </c>
      <c r="D34" s="260">
        <f t="shared" ref="D34:D35" si="59">SUM(E34:G34)</f>
        <v>2200</v>
      </c>
      <c r="E34" s="258">
        <f>'[1]2. Propagácia a marketing'!$E$46</f>
        <v>2200</v>
      </c>
      <c r="F34" s="258">
        <f>'[1]2. Propagácia a marketing'!$F$46</f>
        <v>0</v>
      </c>
      <c r="G34" s="259">
        <f>'[1]2. Propagácia a marketing'!$G$46</f>
        <v>0</v>
      </c>
      <c r="H34" s="260">
        <f t="shared" ref="H34:H35" si="60">SUM(I34:K34)</f>
        <v>0</v>
      </c>
      <c r="I34" s="258">
        <f>'[1]2. Propagácia a marketing'!$H$46</f>
        <v>0</v>
      </c>
      <c r="J34" s="258">
        <f>'[1]2. Propagácia a marketing'!$I$46</f>
        <v>0</v>
      </c>
      <c r="K34" s="259">
        <f>'[1]2. Propagácia a marketing'!$J$46</f>
        <v>0</v>
      </c>
      <c r="L34" s="260">
        <f t="shared" ref="L34:L35" si="61">SUM(M34:O34)</f>
        <v>1500</v>
      </c>
      <c r="M34" s="258">
        <f>'[1]2. Propagácia a marketing'!$K$46</f>
        <v>1500</v>
      </c>
      <c r="N34" s="258">
        <f>'[1]2. Propagácia a marketing'!$L$46</f>
        <v>0</v>
      </c>
      <c r="O34" s="259">
        <f>'[1]2. Propagácia a marketing'!$M$46</f>
        <v>0</v>
      </c>
      <c r="P34" s="260">
        <f t="shared" ref="P34:P35" si="62">SUM(Q34:S34)</f>
        <v>1500</v>
      </c>
      <c r="Q34" s="258">
        <f>'[1]2. Propagácia a marketing'!$N$46</f>
        <v>1500</v>
      </c>
      <c r="R34" s="258">
        <f>'[1]2. Propagácia a marketing'!$O$46</f>
        <v>0</v>
      </c>
      <c r="S34" s="259">
        <f>'[1]2. Propagácia a marketing'!$P$46</f>
        <v>0</v>
      </c>
      <c r="T34" s="260">
        <f t="shared" ref="T34:T35" si="63">SUM(U34:W34)</f>
        <v>0</v>
      </c>
      <c r="U34" s="258">
        <f>'[1]2. Propagácia a marketing'!$Q$46</f>
        <v>0</v>
      </c>
      <c r="V34" s="258">
        <f>'[1]2. Propagácia a marketing'!$R$46</f>
        <v>0</v>
      </c>
      <c r="W34" s="259">
        <f>'[1]2. Propagácia a marketing'!$S$46</f>
        <v>0</v>
      </c>
      <c r="X34" s="260">
        <f t="shared" ref="X34:X35" si="64">SUM(Y34:AA34)</f>
        <v>1500</v>
      </c>
      <c r="Y34" s="258">
        <f>'[1]2. Propagácia a marketing'!$T$46</f>
        <v>1500</v>
      </c>
      <c r="Z34" s="258">
        <f>'[1]2. Propagácia a marketing'!$U$46</f>
        <v>0</v>
      </c>
      <c r="AA34" s="259">
        <f>'[1]2. Propagácia a marketing'!$V$46</f>
        <v>0</v>
      </c>
    </row>
    <row r="35" spans="1:27" ht="16.5" thickBot="1" x14ac:dyDescent="0.3">
      <c r="A35" s="124"/>
      <c r="B35" s="275" t="s">
        <v>184</v>
      </c>
      <c r="C35" s="276" t="s">
        <v>185</v>
      </c>
      <c r="D35" s="269">
        <f t="shared" si="59"/>
        <v>3904.8700000000003</v>
      </c>
      <c r="E35" s="270">
        <f>'[1]2. Propagácia a marketing'!$E$51</f>
        <v>3904.8700000000003</v>
      </c>
      <c r="F35" s="270">
        <f>'[1]2. Propagácia a marketing'!$F$51</f>
        <v>0</v>
      </c>
      <c r="G35" s="303">
        <f>'[1]2. Propagácia a marketing'!$G$51</f>
        <v>0</v>
      </c>
      <c r="H35" s="269">
        <f t="shared" si="60"/>
        <v>4791.32</v>
      </c>
      <c r="I35" s="270">
        <f>'[1]2. Propagácia a marketing'!$H$51</f>
        <v>4791.32</v>
      </c>
      <c r="J35" s="270">
        <f>'[1]2. Propagácia a marketing'!$I$51</f>
        <v>0</v>
      </c>
      <c r="K35" s="303">
        <f>'[1]2. Propagácia a marketing'!$J$51</f>
        <v>0</v>
      </c>
      <c r="L35" s="269">
        <f t="shared" si="61"/>
        <v>7900</v>
      </c>
      <c r="M35" s="270">
        <f>'[1]2. Propagácia a marketing'!$K$51</f>
        <v>7900</v>
      </c>
      <c r="N35" s="270">
        <f>'[1]2. Propagácia a marketing'!$L$51</f>
        <v>0</v>
      </c>
      <c r="O35" s="303">
        <f>'[1]2. Propagácia a marketing'!$M$51</f>
        <v>0</v>
      </c>
      <c r="P35" s="269">
        <f t="shared" si="62"/>
        <v>7599</v>
      </c>
      <c r="Q35" s="270">
        <f>'[1]2. Propagácia a marketing'!$N$51</f>
        <v>7599</v>
      </c>
      <c r="R35" s="270">
        <f>'[1]2. Propagácia a marketing'!$O$51</f>
        <v>0</v>
      </c>
      <c r="S35" s="303">
        <f>'[1]2. Propagácia a marketing'!$P$51</f>
        <v>0</v>
      </c>
      <c r="T35" s="269">
        <f t="shared" si="63"/>
        <v>0</v>
      </c>
      <c r="U35" s="270">
        <f>'[1]2. Propagácia a marketing'!$Q$51</f>
        <v>0</v>
      </c>
      <c r="V35" s="270">
        <f>'[1]2. Propagácia a marketing'!$R$51</f>
        <v>0</v>
      </c>
      <c r="W35" s="303">
        <f>'[1]2. Propagácia a marketing'!$S$51</f>
        <v>0</v>
      </c>
      <c r="X35" s="269">
        <f t="shared" si="64"/>
        <v>7599</v>
      </c>
      <c r="Y35" s="270">
        <f>'[1]2. Propagácia a marketing'!$T$51</f>
        <v>7599</v>
      </c>
      <c r="Z35" s="270">
        <f>'[1]2. Propagácia a marketing'!$U$51</f>
        <v>0</v>
      </c>
      <c r="AA35" s="303">
        <f>'[1]2. Propagácia a marketing'!$V$51</f>
        <v>0</v>
      </c>
    </row>
    <row r="36" spans="1:27" s="123" customFormat="1" ht="15.75" x14ac:dyDescent="0.25">
      <c r="A36" s="111"/>
      <c r="B36" s="277" t="s">
        <v>186</v>
      </c>
      <c r="C36" s="382"/>
      <c r="D36" s="266">
        <f t="shared" ref="D36:G36" si="65">D37+D38+D39+D44+D45</f>
        <v>277347.62000000005</v>
      </c>
      <c r="E36" s="267">
        <f t="shared" si="65"/>
        <v>257695.9500000001</v>
      </c>
      <c r="F36" s="267">
        <f t="shared" si="65"/>
        <v>19651.669999999998</v>
      </c>
      <c r="G36" s="268">
        <f t="shared" si="65"/>
        <v>0</v>
      </c>
      <c r="H36" s="266">
        <f t="shared" ref="H36:K36" si="66">H37+H38+H39+H44+H45</f>
        <v>263701.97000000003</v>
      </c>
      <c r="I36" s="267">
        <f t="shared" si="66"/>
        <v>216960.17</v>
      </c>
      <c r="J36" s="267">
        <f t="shared" si="66"/>
        <v>46741.8</v>
      </c>
      <c r="K36" s="268">
        <f t="shared" si="66"/>
        <v>0</v>
      </c>
      <c r="L36" s="266">
        <f t="shared" ref="L36:O36" si="67">L37+L38+L39+L44+L45</f>
        <v>466140</v>
      </c>
      <c r="M36" s="267">
        <f t="shared" si="67"/>
        <v>317540</v>
      </c>
      <c r="N36" s="267">
        <f t="shared" si="67"/>
        <v>148600</v>
      </c>
      <c r="O36" s="268">
        <f t="shared" si="67"/>
        <v>0</v>
      </c>
      <c r="P36" s="266">
        <f t="shared" ref="P36:S36" si="68">P37+P38+P39+P44+P45</f>
        <v>466040</v>
      </c>
      <c r="Q36" s="267">
        <f t="shared" si="68"/>
        <v>317440</v>
      </c>
      <c r="R36" s="267">
        <f t="shared" si="68"/>
        <v>148600</v>
      </c>
      <c r="S36" s="268">
        <f t="shared" si="68"/>
        <v>0</v>
      </c>
      <c r="T36" s="266">
        <f t="shared" ref="T36:W36" si="69">T37+T38+T39+T44+T45</f>
        <v>19340</v>
      </c>
      <c r="U36" s="267">
        <f t="shared" si="69"/>
        <v>29040</v>
      </c>
      <c r="V36" s="267">
        <f t="shared" si="69"/>
        <v>-9700</v>
      </c>
      <c r="W36" s="268">
        <f t="shared" si="69"/>
        <v>0</v>
      </c>
      <c r="X36" s="266">
        <f t="shared" ref="X36:AA36" si="70">X37+X38+X39+X44+X45</f>
        <v>485380</v>
      </c>
      <c r="Y36" s="267">
        <f t="shared" si="70"/>
        <v>346480</v>
      </c>
      <c r="Z36" s="267">
        <f t="shared" si="70"/>
        <v>138900</v>
      </c>
      <c r="AA36" s="268">
        <f t="shared" si="70"/>
        <v>0</v>
      </c>
    </row>
    <row r="37" spans="1:27" ht="15.75" x14ac:dyDescent="0.25">
      <c r="A37" s="121"/>
      <c r="B37" s="273" t="s">
        <v>187</v>
      </c>
      <c r="C37" s="274" t="s">
        <v>188</v>
      </c>
      <c r="D37" s="260">
        <f>SUM(E37:G37)</f>
        <v>95892.89</v>
      </c>
      <c r="E37" s="258">
        <f>'[1]3.Interné služby'!$E$4</f>
        <v>87313.47</v>
      </c>
      <c r="F37" s="258">
        <f>'[1]3.Interné služby'!$F$4</f>
        <v>8579.42</v>
      </c>
      <c r="G37" s="259">
        <f>'[1]3.Interné služby'!$G$4</f>
        <v>0</v>
      </c>
      <c r="H37" s="260">
        <f>SUM(I37:K37)</f>
        <v>106773.95000000001</v>
      </c>
      <c r="I37" s="258">
        <f>'[1]3.Interné služby'!$H$4</f>
        <v>60032.15</v>
      </c>
      <c r="J37" s="258">
        <f>'[1]3.Interné služby'!$I$4</f>
        <v>46741.8</v>
      </c>
      <c r="K37" s="259">
        <f>'[1]3.Interné služby'!$J$4</f>
        <v>0</v>
      </c>
      <c r="L37" s="260">
        <f>SUM(M37:O37)</f>
        <v>239500</v>
      </c>
      <c r="M37" s="258">
        <f>'[1]3.Interné služby'!$K$4</f>
        <v>90900</v>
      </c>
      <c r="N37" s="258">
        <f>'[1]3.Interné služby'!$L$4</f>
        <v>148600</v>
      </c>
      <c r="O37" s="259">
        <f>'[1]3.Interné služby'!$M$4</f>
        <v>0</v>
      </c>
      <c r="P37" s="260">
        <f>SUM(Q37:S37)</f>
        <v>242500</v>
      </c>
      <c r="Q37" s="258">
        <f>'[1]3.Interné služby'!$N$4</f>
        <v>93900</v>
      </c>
      <c r="R37" s="258">
        <f>'[1]3.Interné služby'!$O$4</f>
        <v>148600</v>
      </c>
      <c r="S37" s="259">
        <f>'[1]3.Interné služby'!$P$4</f>
        <v>0</v>
      </c>
      <c r="T37" s="260">
        <f>SUM(U37:W37)</f>
        <v>-9020</v>
      </c>
      <c r="U37" s="258">
        <f>'[1]3.Interné služby'!$Q$4</f>
        <v>680</v>
      </c>
      <c r="V37" s="258">
        <f>'[1]3.Interné služby'!$R$4</f>
        <v>-9700</v>
      </c>
      <c r="W37" s="259">
        <f>'[1]3.Interné služby'!$S$4</f>
        <v>0</v>
      </c>
      <c r="X37" s="260">
        <f>SUM(Y37:AA37)</f>
        <v>233480</v>
      </c>
      <c r="Y37" s="258">
        <f>'[1]3.Interné služby'!$T$4</f>
        <v>94580</v>
      </c>
      <c r="Z37" s="258">
        <f>'[1]3.Interné služby'!$U$4</f>
        <v>138900</v>
      </c>
      <c r="AA37" s="259">
        <f>'[1]3.Interné služby'!$V$4</f>
        <v>0</v>
      </c>
    </row>
    <row r="38" spans="1:27" ht="15.75" x14ac:dyDescent="0.25">
      <c r="A38" s="124"/>
      <c r="B38" s="273" t="s">
        <v>189</v>
      </c>
      <c r="C38" s="274" t="s">
        <v>190</v>
      </c>
      <c r="D38" s="260">
        <f>SUM(E38:G38)</f>
        <v>5183.54</v>
      </c>
      <c r="E38" s="258">
        <f>'[1]3.Interné služby'!$E$20</f>
        <v>5183.54</v>
      </c>
      <c r="F38" s="258">
        <f>'[1]3.Interné služby'!$F$20</f>
        <v>0</v>
      </c>
      <c r="G38" s="259">
        <f>'[1]3.Interné služby'!$G$20</f>
        <v>0</v>
      </c>
      <c r="H38" s="260">
        <f>SUM(I38:K38)</f>
        <v>522</v>
      </c>
      <c r="I38" s="258">
        <f>'[1]3.Interné služby'!$H$20</f>
        <v>522</v>
      </c>
      <c r="J38" s="258">
        <f>'[1]3.Interné služby'!$I$20</f>
        <v>0</v>
      </c>
      <c r="K38" s="259">
        <f>'[1]3.Interné služby'!$J$20</f>
        <v>0</v>
      </c>
      <c r="L38" s="260">
        <f>SUM(M38:O38)</f>
        <v>6000</v>
      </c>
      <c r="M38" s="258">
        <f>'[1]3.Interné služby'!$K$20</f>
        <v>6000</v>
      </c>
      <c r="N38" s="258">
        <f>'[1]3.Interné služby'!$L$20</f>
        <v>0</v>
      </c>
      <c r="O38" s="259">
        <f>'[1]3.Interné služby'!$M$20</f>
        <v>0</v>
      </c>
      <c r="P38" s="260">
        <f>SUM(Q38:S38)</f>
        <v>6000</v>
      </c>
      <c r="Q38" s="258">
        <f>'[1]3.Interné služby'!$N$20</f>
        <v>6000</v>
      </c>
      <c r="R38" s="258">
        <f>'[1]3.Interné služby'!$O$20</f>
        <v>0</v>
      </c>
      <c r="S38" s="259">
        <f>'[1]3.Interné služby'!$P$20</f>
        <v>0</v>
      </c>
      <c r="T38" s="260">
        <f>SUM(U38:W38)</f>
        <v>0</v>
      </c>
      <c r="U38" s="258">
        <f>'[1]3.Interné služby'!$Q$20</f>
        <v>0</v>
      </c>
      <c r="V38" s="258">
        <f>'[1]3.Interné služby'!$R$20</f>
        <v>0</v>
      </c>
      <c r="W38" s="259">
        <f>'[1]3.Interné služby'!$S$20</f>
        <v>0</v>
      </c>
      <c r="X38" s="260">
        <f>SUM(Y38:AA38)</f>
        <v>6000</v>
      </c>
      <c r="Y38" s="258">
        <f>'[1]3.Interné služby'!$T$20</f>
        <v>6000</v>
      </c>
      <c r="Z38" s="258">
        <f>'[1]3.Interné služby'!$U$20</f>
        <v>0</v>
      </c>
      <c r="AA38" s="259">
        <f>'[1]3.Interné služby'!$V$20</f>
        <v>0</v>
      </c>
    </row>
    <row r="39" spans="1:27" ht="15.75" x14ac:dyDescent="0.25">
      <c r="B39" s="273" t="s">
        <v>191</v>
      </c>
      <c r="C39" s="274" t="s">
        <v>192</v>
      </c>
      <c r="D39" s="260">
        <f t="shared" ref="D39:G39" si="71">SUM(D40:D43)</f>
        <v>170755.71000000008</v>
      </c>
      <c r="E39" s="258">
        <f t="shared" si="71"/>
        <v>159683.46000000008</v>
      </c>
      <c r="F39" s="258">
        <f t="shared" si="71"/>
        <v>11072.25</v>
      </c>
      <c r="G39" s="259">
        <f t="shared" si="71"/>
        <v>0</v>
      </c>
      <c r="H39" s="260">
        <f t="shared" ref="H39:K39" si="72">SUM(H40:H43)</f>
        <v>149828.44000000003</v>
      </c>
      <c r="I39" s="258">
        <f t="shared" si="72"/>
        <v>149828.44000000003</v>
      </c>
      <c r="J39" s="258">
        <f t="shared" si="72"/>
        <v>0</v>
      </c>
      <c r="K39" s="259">
        <f t="shared" si="72"/>
        <v>0</v>
      </c>
      <c r="L39" s="260">
        <f t="shared" ref="L39:O39" si="73">SUM(L40:L43)</f>
        <v>213090</v>
      </c>
      <c r="M39" s="258">
        <f t="shared" si="73"/>
        <v>213090</v>
      </c>
      <c r="N39" s="258">
        <f t="shared" si="73"/>
        <v>0</v>
      </c>
      <c r="O39" s="259">
        <f t="shared" si="73"/>
        <v>0</v>
      </c>
      <c r="P39" s="260">
        <f t="shared" ref="P39:S39" si="74">SUM(P40:P43)</f>
        <v>209990</v>
      </c>
      <c r="Q39" s="258">
        <f t="shared" si="74"/>
        <v>209990</v>
      </c>
      <c r="R39" s="258">
        <f t="shared" si="74"/>
        <v>0</v>
      </c>
      <c r="S39" s="259">
        <f t="shared" si="74"/>
        <v>0</v>
      </c>
      <c r="T39" s="260">
        <f t="shared" ref="T39:W39" si="75">SUM(T40:T43)</f>
        <v>28360</v>
      </c>
      <c r="U39" s="258">
        <f t="shared" si="75"/>
        <v>28360</v>
      </c>
      <c r="V39" s="258">
        <f t="shared" si="75"/>
        <v>0</v>
      </c>
      <c r="W39" s="259">
        <f t="shared" si="75"/>
        <v>0</v>
      </c>
      <c r="X39" s="260">
        <f t="shared" ref="X39:AA39" si="76">SUM(X40:X43)</f>
        <v>238350</v>
      </c>
      <c r="Y39" s="258">
        <f t="shared" si="76"/>
        <v>238350</v>
      </c>
      <c r="Z39" s="258">
        <f t="shared" si="76"/>
        <v>0</v>
      </c>
      <c r="AA39" s="259">
        <f t="shared" si="76"/>
        <v>0</v>
      </c>
    </row>
    <row r="40" spans="1:27" ht="15.75" x14ac:dyDescent="0.25">
      <c r="B40" s="273">
        <v>1</v>
      </c>
      <c r="C40" s="274" t="s">
        <v>193</v>
      </c>
      <c r="D40" s="260">
        <f>SUM(E40:G40)</f>
        <v>375.28</v>
      </c>
      <c r="E40" s="258">
        <f>'[1]3.Interné služby'!$E$26</f>
        <v>375.28</v>
      </c>
      <c r="F40" s="258">
        <f>'[1]3.Interné služby'!$F$26</f>
        <v>0</v>
      </c>
      <c r="G40" s="259">
        <f>'[1]3.Interné služby'!$G$26</f>
        <v>0</v>
      </c>
      <c r="H40" s="260">
        <f>SUM(I40:K40)</f>
        <v>132</v>
      </c>
      <c r="I40" s="258">
        <f>'[1]3.Interné služby'!$H$26</f>
        <v>132</v>
      </c>
      <c r="J40" s="258">
        <f>'[1]3.Interné služby'!$I$26</f>
        <v>0</v>
      </c>
      <c r="K40" s="259">
        <f>'[1]3.Interné služby'!$J$26</f>
        <v>0</v>
      </c>
      <c r="L40" s="260">
        <f>SUM(M40:O40)</f>
        <v>800</v>
      </c>
      <c r="M40" s="258">
        <f>'[1]3.Interné služby'!$K$26</f>
        <v>800</v>
      </c>
      <c r="N40" s="258">
        <f>'[1]3.Interné služby'!$L$26</f>
        <v>0</v>
      </c>
      <c r="O40" s="259">
        <f>'[1]3.Interné služby'!$M$26</f>
        <v>0</v>
      </c>
      <c r="P40" s="260">
        <f>SUM(Q40:S40)</f>
        <v>800</v>
      </c>
      <c r="Q40" s="258">
        <f>'[1]3.Interné služby'!$N$26</f>
        <v>800</v>
      </c>
      <c r="R40" s="258">
        <f>'[1]3.Interné služby'!$O$26</f>
        <v>0</v>
      </c>
      <c r="S40" s="259">
        <f>'[1]3.Interné služby'!$P$26</f>
        <v>0</v>
      </c>
      <c r="T40" s="260">
        <f>SUM(U40:W40)</f>
        <v>0</v>
      </c>
      <c r="U40" s="258">
        <f>'[1]3.Interné služby'!$Q$26</f>
        <v>0</v>
      </c>
      <c r="V40" s="258">
        <f>'[1]3.Interné služby'!$R$26</f>
        <v>0</v>
      </c>
      <c r="W40" s="259">
        <f>'[1]3.Interné služby'!$S$26</f>
        <v>0</v>
      </c>
      <c r="X40" s="260">
        <f>SUM(Y40:AA40)</f>
        <v>800</v>
      </c>
      <c r="Y40" s="258">
        <f>'[1]3.Interné služby'!$T$26</f>
        <v>800</v>
      </c>
      <c r="Z40" s="258">
        <f>'[1]3.Interné služby'!$U$26</f>
        <v>0</v>
      </c>
      <c r="AA40" s="259">
        <f>'[1]3.Interné služby'!$V$26</f>
        <v>0</v>
      </c>
    </row>
    <row r="41" spans="1:27" ht="15.75" x14ac:dyDescent="0.25">
      <c r="B41" s="273">
        <v>2</v>
      </c>
      <c r="C41" s="274" t="s">
        <v>194</v>
      </c>
      <c r="D41" s="260">
        <f t="shared" ref="D41:D45" si="77">SUM(E41:G41)</f>
        <v>10982.800000000001</v>
      </c>
      <c r="E41" s="258">
        <f>'[1]3.Interné služby'!$E$31</f>
        <v>10982.800000000001</v>
      </c>
      <c r="F41" s="258">
        <f>'[1]3.Interné služby'!$F$31</f>
        <v>0</v>
      </c>
      <c r="G41" s="259">
        <f>'[1]3.Interné služby'!$G$31</f>
        <v>0</v>
      </c>
      <c r="H41" s="260">
        <f t="shared" ref="H41:H45" si="78">SUM(I41:K41)</f>
        <v>9987.0400000000009</v>
      </c>
      <c r="I41" s="258">
        <f>'[1]3.Interné služby'!$H$31</f>
        <v>9987.0400000000009</v>
      </c>
      <c r="J41" s="258">
        <f>'[1]3.Interné služby'!$I$31</f>
        <v>0</v>
      </c>
      <c r="K41" s="259">
        <f>'[1]3.Interné služby'!$J$31</f>
        <v>0</v>
      </c>
      <c r="L41" s="260">
        <f t="shared" ref="L41:L45" si="79">SUM(M41:O41)</f>
        <v>10200</v>
      </c>
      <c r="M41" s="258">
        <f>'[1]3.Interné služby'!$K$31</f>
        <v>10200</v>
      </c>
      <c r="N41" s="258">
        <f>'[1]3.Interné služby'!$L$31</f>
        <v>0</v>
      </c>
      <c r="O41" s="259">
        <f>'[1]3.Interné služby'!$M$31</f>
        <v>0</v>
      </c>
      <c r="P41" s="260">
        <f t="shared" ref="P41:P45" si="80">SUM(Q41:S41)</f>
        <v>10200</v>
      </c>
      <c r="Q41" s="258">
        <f>'[1]3.Interné služby'!$N$31</f>
        <v>10200</v>
      </c>
      <c r="R41" s="258">
        <f>'[1]3.Interné služby'!$O$31</f>
        <v>0</v>
      </c>
      <c r="S41" s="259">
        <f>'[1]3.Interné služby'!$P$31</f>
        <v>0</v>
      </c>
      <c r="T41" s="260">
        <f t="shared" ref="T41:T45" si="81">SUM(U41:W41)</f>
        <v>0</v>
      </c>
      <c r="U41" s="258">
        <f>'[1]3.Interné služby'!$Q$31</f>
        <v>0</v>
      </c>
      <c r="V41" s="258">
        <f>'[1]3.Interné služby'!$R$31</f>
        <v>0</v>
      </c>
      <c r="W41" s="259">
        <f>'[1]3.Interné služby'!$S$31</f>
        <v>0</v>
      </c>
      <c r="X41" s="260">
        <f t="shared" ref="X41:X45" si="82">SUM(Y41:AA41)</f>
        <v>10200</v>
      </c>
      <c r="Y41" s="258">
        <f>'[1]3.Interné služby'!$T$31</f>
        <v>10200</v>
      </c>
      <c r="Z41" s="258">
        <f>'[1]3.Interné služby'!$U$31</f>
        <v>0</v>
      </c>
      <c r="AA41" s="259">
        <f>'[1]3.Interné služby'!$V$31</f>
        <v>0</v>
      </c>
    </row>
    <row r="42" spans="1:27" ht="15.75" x14ac:dyDescent="0.25">
      <c r="B42" s="273">
        <v>3</v>
      </c>
      <c r="C42" s="274" t="s">
        <v>195</v>
      </c>
      <c r="D42" s="260">
        <f t="shared" si="77"/>
        <v>147025.38000000006</v>
      </c>
      <c r="E42" s="258">
        <f>'[1]3.Interné služby'!$E$34</f>
        <v>147025.38000000006</v>
      </c>
      <c r="F42" s="258">
        <f>'[1]3.Interné služby'!$F$34</f>
        <v>0</v>
      </c>
      <c r="G42" s="259">
        <f>'[1]3.Interné služby'!$G$34</f>
        <v>0</v>
      </c>
      <c r="H42" s="260">
        <f t="shared" si="78"/>
        <v>138909.40000000002</v>
      </c>
      <c r="I42" s="258">
        <f>'[1]3.Interné služby'!$H$34</f>
        <v>138909.40000000002</v>
      </c>
      <c r="J42" s="258">
        <f>'[1]3.Interné služby'!$I$34</f>
        <v>0</v>
      </c>
      <c r="K42" s="259">
        <f>'[1]3.Interné služby'!$J$34</f>
        <v>0</v>
      </c>
      <c r="L42" s="260">
        <f t="shared" si="79"/>
        <v>200090</v>
      </c>
      <c r="M42" s="258">
        <f>'[1]3.Interné služby'!$K$34</f>
        <v>200090</v>
      </c>
      <c r="N42" s="258">
        <f>'[1]3.Interné služby'!$L$34</f>
        <v>0</v>
      </c>
      <c r="O42" s="259">
        <f>'[1]3.Interné služby'!$M$34</f>
        <v>0</v>
      </c>
      <c r="P42" s="260">
        <f t="shared" si="80"/>
        <v>196990</v>
      </c>
      <c r="Q42" s="258">
        <f>'[1]3.Interné služby'!$N$34</f>
        <v>196990</v>
      </c>
      <c r="R42" s="258">
        <f>'[1]3.Interné služby'!$O$34</f>
        <v>0</v>
      </c>
      <c r="S42" s="259">
        <f>'[1]3.Interné služby'!$P$34</f>
        <v>0</v>
      </c>
      <c r="T42" s="260">
        <f t="shared" si="81"/>
        <v>28360</v>
      </c>
      <c r="U42" s="258">
        <f>'[1]3.Interné služby'!$Q$34</f>
        <v>28360</v>
      </c>
      <c r="V42" s="258">
        <f>'[1]3.Interné služby'!$R$34</f>
        <v>0</v>
      </c>
      <c r="W42" s="259">
        <f>'[1]3.Interné služby'!$S$34</f>
        <v>0</v>
      </c>
      <c r="X42" s="260">
        <f t="shared" si="82"/>
        <v>225350</v>
      </c>
      <c r="Y42" s="258">
        <f>'[1]3.Interné služby'!$T$34</f>
        <v>225350</v>
      </c>
      <c r="Z42" s="258">
        <f>'[1]3.Interné služby'!$U$34</f>
        <v>0</v>
      </c>
      <c r="AA42" s="259">
        <f>'[1]3.Interné služby'!$V$34</f>
        <v>0</v>
      </c>
    </row>
    <row r="43" spans="1:27" ht="15.75" x14ac:dyDescent="0.25">
      <c r="B43" s="273">
        <v>4</v>
      </c>
      <c r="C43" s="274" t="s">
        <v>196</v>
      </c>
      <c r="D43" s="260">
        <f t="shared" si="77"/>
        <v>12372.25</v>
      </c>
      <c r="E43" s="258">
        <f>'[1]3.Interné služby'!$E$86</f>
        <v>1300</v>
      </c>
      <c r="F43" s="258">
        <f>'[1]3.Interné služby'!$F$86</f>
        <v>11072.25</v>
      </c>
      <c r="G43" s="259">
        <f>'[1]3.Interné služby'!$G$86</f>
        <v>0</v>
      </c>
      <c r="H43" s="260">
        <f t="shared" si="78"/>
        <v>800</v>
      </c>
      <c r="I43" s="258">
        <f>'[1]3.Interné služby'!$H$86</f>
        <v>800</v>
      </c>
      <c r="J43" s="258">
        <f>'[1]3.Interné služby'!$I$86</f>
        <v>0</v>
      </c>
      <c r="K43" s="259">
        <f>'[1]3.Interné služby'!$J$86</f>
        <v>0</v>
      </c>
      <c r="L43" s="260">
        <f t="shared" si="79"/>
        <v>2000</v>
      </c>
      <c r="M43" s="258">
        <f>'[1]3.Interné služby'!$K$86</f>
        <v>2000</v>
      </c>
      <c r="N43" s="258">
        <f>'[1]3.Interné služby'!$L$86</f>
        <v>0</v>
      </c>
      <c r="O43" s="259">
        <f>'[1]3.Interné služby'!$M$86</f>
        <v>0</v>
      </c>
      <c r="P43" s="260">
        <f t="shared" si="80"/>
        <v>2000</v>
      </c>
      <c r="Q43" s="258">
        <f>'[1]3.Interné služby'!$N$86</f>
        <v>2000</v>
      </c>
      <c r="R43" s="258">
        <f>'[1]3.Interné služby'!$O$86</f>
        <v>0</v>
      </c>
      <c r="S43" s="259">
        <f>'[1]3.Interné služby'!$P$86</f>
        <v>0</v>
      </c>
      <c r="T43" s="260">
        <f t="shared" si="81"/>
        <v>0</v>
      </c>
      <c r="U43" s="258">
        <f>'[1]3.Interné služby'!$Q$86</f>
        <v>0</v>
      </c>
      <c r="V43" s="258">
        <f>'[1]3.Interné služby'!$R$86</f>
        <v>0</v>
      </c>
      <c r="W43" s="259">
        <f>'[1]3.Interné služby'!$S$86</f>
        <v>0</v>
      </c>
      <c r="X43" s="260">
        <f t="shared" si="82"/>
        <v>2000</v>
      </c>
      <c r="Y43" s="258">
        <f>'[1]3.Interné služby'!$T$86</f>
        <v>2000</v>
      </c>
      <c r="Z43" s="258">
        <f>'[1]3.Interné služby'!$U$86</f>
        <v>0</v>
      </c>
      <c r="AA43" s="259">
        <f>'[1]3.Interné služby'!$V$86</f>
        <v>0</v>
      </c>
    </row>
    <row r="44" spans="1:27" ht="15.75" x14ac:dyDescent="0.25">
      <c r="B44" s="273" t="s">
        <v>197</v>
      </c>
      <c r="C44" s="274" t="s">
        <v>198</v>
      </c>
      <c r="D44" s="260">
        <f t="shared" si="77"/>
        <v>4965.4799999999996</v>
      </c>
      <c r="E44" s="258">
        <f>'[1]3.Interné služby'!$E$91</f>
        <v>4965.4799999999996</v>
      </c>
      <c r="F44" s="258">
        <f>'[1]3.Interné služby'!$F$91</f>
        <v>0</v>
      </c>
      <c r="G44" s="259">
        <f>'[1]3.Interné služby'!$G$91</f>
        <v>0</v>
      </c>
      <c r="H44" s="260">
        <f t="shared" si="78"/>
        <v>6577.58</v>
      </c>
      <c r="I44" s="258">
        <f>'[1]3.Interné služby'!$H$91</f>
        <v>6577.58</v>
      </c>
      <c r="J44" s="258">
        <f>'[1]3.Interné služby'!$I$91</f>
        <v>0</v>
      </c>
      <c r="K44" s="259">
        <f>'[1]3.Interné služby'!$J$91</f>
        <v>0</v>
      </c>
      <c r="L44" s="260">
        <f t="shared" si="79"/>
        <v>7000</v>
      </c>
      <c r="M44" s="258">
        <f>'[1]3.Interné služby'!$K$91</f>
        <v>7000</v>
      </c>
      <c r="N44" s="258">
        <f>'[1]3.Interné služby'!$L$91</f>
        <v>0</v>
      </c>
      <c r="O44" s="259">
        <f>'[1]3.Interné služby'!$M$91</f>
        <v>0</v>
      </c>
      <c r="P44" s="260">
        <f t="shared" si="80"/>
        <v>7000</v>
      </c>
      <c r="Q44" s="258">
        <f>'[1]3.Interné služby'!$N$91</f>
        <v>7000</v>
      </c>
      <c r="R44" s="258">
        <f>'[1]3.Interné služby'!$O$91</f>
        <v>0</v>
      </c>
      <c r="S44" s="259">
        <f>'[1]3.Interné služby'!$P$91</f>
        <v>0</v>
      </c>
      <c r="T44" s="260">
        <f t="shared" si="81"/>
        <v>0</v>
      </c>
      <c r="U44" s="258">
        <f>'[1]3.Interné služby'!$Q$91</f>
        <v>0</v>
      </c>
      <c r="V44" s="258">
        <f>'[1]3.Interné služby'!$R$91</f>
        <v>0</v>
      </c>
      <c r="W44" s="259">
        <f>'[1]3.Interné služby'!$S$91</f>
        <v>0</v>
      </c>
      <c r="X44" s="260">
        <f t="shared" si="82"/>
        <v>7000</v>
      </c>
      <c r="Y44" s="258">
        <f>'[1]3.Interné služby'!$T$91</f>
        <v>7000</v>
      </c>
      <c r="Z44" s="258">
        <f>'[1]3.Interné služby'!$U$91</f>
        <v>0</v>
      </c>
      <c r="AA44" s="259">
        <f>'[1]3.Interné služby'!$V$91</f>
        <v>0</v>
      </c>
    </row>
    <row r="45" spans="1:27" ht="16.5" thickBot="1" x14ac:dyDescent="0.3">
      <c r="B45" s="280" t="s">
        <v>199</v>
      </c>
      <c r="C45" s="276" t="s">
        <v>200</v>
      </c>
      <c r="D45" s="269">
        <f t="shared" si="77"/>
        <v>550</v>
      </c>
      <c r="E45" s="270">
        <f>'[1]3.Interné služby'!$E$97</f>
        <v>550</v>
      </c>
      <c r="F45" s="270">
        <f>'[1]3.Interné služby'!$F$97</f>
        <v>0</v>
      </c>
      <c r="G45" s="303">
        <f>'[1]3.Interné služby'!$G$97</f>
        <v>0</v>
      </c>
      <c r="H45" s="269">
        <f t="shared" si="78"/>
        <v>0</v>
      </c>
      <c r="I45" s="270">
        <f>'[1]3.Interné služby'!$H$97</f>
        <v>0</v>
      </c>
      <c r="J45" s="270">
        <f>'[1]3.Interné služby'!$I$97</f>
        <v>0</v>
      </c>
      <c r="K45" s="303">
        <f>'[1]3.Interné služby'!$J$97</f>
        <v>0</v>
      </c>
      <c r="L45" s="269">
        <f t="shared" si="79"/>
        <v>550</v>
      </c>
      <c r="M45" s="270">
        <f>'[1]3.Interné služby'!$K$97</f>
        <v>550</v>
      </c>
      <c r="N45" s="270">
        <f>'[1]3.Interné služby'!$L$97</f>
        <v>0</v>
      </c>
      <c r="O45" s="303">
        <f>'[1]3.Interné služby'!$M$97</f>
        <v>0</v>
      </c>
      <c r="P45" s="269">
        <f t="shared" si="80"/>
        <v>550</v>
      </c>
      <c r="Q45" s="270">
        <f>'[1]3.Interné služby'!$N$97</f>
        <v>550</v>
      </c>
      <c r="R45" s="270">
        <f>'[1]3.Interné služby'!$O$97</f>
        <v>0</v>
      </c>
      <c r="S45" s="303">
        <f>'[1]3.Interné služby'!$P$97</f>
        <v>0</v>
      </c>
      <c r="T45" s="269">
        <f t="shared" si="81"/>
        <v>0</v>
      </c>
      <c r="U45" s="270">
        <f>'[1]3.Interné služby'!$Q$97</f>
        <v>0</v>
      </c>
      <c r="V45" s="270">
        <f>'[1]3.Interné služby'!$R$97</f>
        <v>0</v>
      </c>
      <c r="W45" s="303">
        <f>'[1]3.Interné služby'!$S$97</f>
        <v>0</v>
      </c>
      <c r="X45" s="269">
        <f t="shared" si="82"/>
        <v>550</v>
      </c>
      <c r="Y45" s="270">
        <f>'[1]3.Interné služby'!$T$97</f>
        <v>550</v>
      </c>
      <c r="Z45" s="270">
        <f>'[1]3.Interné služby'!$U$97</f>
        <v>0</v>
      </c>
      <c r="AA45" s="303">
        <f>'[1]3.Interné služby'!$V$97</f>
        <v>0</v>
      </c>
    </row>
    <row r="46" spans="1:27" s="123" customFormat="1" ht="15.75" x14ac:dyDescent="0.25">
      <c r="B46" s="281" t="s">
        <v>201</v>
      </c>
      <c r="C46" s="282"/>
      <c r="D46" s="266">
        <f t="shared" ref="D46:G46" si="83">D47+D48+D51</f>
        <v>40362.54</v>
      </c>
      <c r="E46" s="267">
        <f t="shared" si="83"/>
        <v>40362.54</v>
      </c>
      <c r="F46" s="267">
        <f t="shared" si="83"/>
        <v>0</v>
      </c>
      <c r="G46" s="268">
        <f t="shared" si="83"/>
        <v>0</v>
      </c>
      <c r="H46" s="266">
        <f t="shared" ref="H46:K46" si="84">H47+H48+H51</f>
        <v>55270.729999999996</v>
      </c>
      <c r="I46" s="267">
        <f t="shared" si="84"/>
        <v>55270.729999999996</v>
      </c>
      <c r="J46" s="267">
        <f t="shared" si="84"/>
        <v>0</v>
      </c>
      <c r="K46" s="268">
        <f t="shared" si="84"/>
        <v>0</v>
      </c>
      <c r="L46" s="266">
        <f t="shared" ref="L46:O46" si="85">L47+L48+L51</f>
        <v>55220</v>
      </c>
      <c r="M46" s="267">
        <f t="shared" si="85"/>
        <v>55220</v>
      </c>
      <c r="N46" s="267">
        <f t="shared" si="85"/>
        <v>0</v>
      </c>
      <c r="O46" s="268">
        <f t="shared" si="85"/>
        <v>0</v>
      </c>
      <c r="P46" s="266">
        <f t="shared" ref="P46:S46" si="86">P47+P48+P51</f>
        <v>55010</v>
      </c>
      <c r="Q46" s="267">
        <f t="shared" si="86"/>
        <v>55010</v>
      </c>
      <c r="R46" s="267">
        <f t="shared" si="86"/>
        <v>0</v>
      </c>
      <c r="S46" s="268">
        <f t="shared" si="86"/>
        <v>0</v>
      </c>
      <c r="T46" s="266">
        <f t="shared" ref="T46:W46" si="87">T47+T48+T51</f>
        <v>1500</v>
      </c>
      <c r="U46" s="267">
        <f t="shared" si="87"/>
        <v>1500</v>
      </c>
      <c r="V46" s="267">
        <f t="shared" si="87"/>
        <v>0</v>
      </c>
      <c r="W46" s="268">
        <f t="shared" si="87"/>
        <v>0</v>
      </c>
      <c r="X46" s="266">
        <f t="shared" ref="X46:AA46" si="88">X47+X48+X51</f>
        <v>56510</v>
      </c>
      <c r="Y46" s="267">
        <f t="shared" si="88"/>
        <v>56510</v>
      </c>
      <c r="Z46" s="267">
        <f t="shared" si="88"/>
        <v>0</v>
      </c>
      <c r="AA46" s="268">
        <f t="shared" si="88"/>
        <v>0</v>
      </c>
    </row>
    <row r="47" spans="1:27" ht="15.75" x14ac:dyDescent="0.25">
      <c r="B47" s="273" t="s">
        <v>202</v>
      </c>
      <c r="C47" s="274" t="s">
        <v>203</v>
      </c>
      <c r="D47" s="260">
        <f>SUM(E47:G47)</f>
        <v>13883.619999999999</v>
      </c>
      <c r="E47" s="258">
        <f>'[1]4.Služby občanov'!$E$4</f>
        <v>13883.619999999999</v>
      </c>
      <c r="F47" s="258">
        <f>'[1]4.Služby občanov'!$F$4</f>
        <v>0</v>
      </c>
      <c r="G47" s="259">
        <f>'[1]4.Služby občanov'!$G$4</f>
        <v>0</v>
      </c>
      <c r="H47" s="260">
        <f>SUM(I47:K47)</f>
        <v>26097.149999999998</v>
      </c>
      <c r="I47" s="258">
        <f>'[1]4.Služby občanov'!$H$4</f>
        <v>26097.149999999998</v>
      </c>
      <c r="J47" s="258">
        <f>'[1]4.Služby občanov'!$I$4</f>
        <v>0</v>
      </c>
      <c r="K47" s="259">
        <f>'[1]4.Služby občanov'!$J$4</f>
        <v>0</v>
      </c>
      <c r="L47" s="260">
        <f>SUM(M47:O47)</f>
        <v>25700</v>
      </c>
      <c r="M47" s="258">
        <f>'[1]4.Služby občanov'!$K$4</f>
        <v>25700</v>
      </c>
      <c r="N47" s="258">
        <f>'[1]4.Služby občanov'!$L$4</f>
        <v>0</v>
      </c>
      <c r="O47" s="259">
        <f>'[1]4.Služby občanov'!$M$4</f>
        <v>0</v>
      </c>
      <c r="P47" s="260">
        <f>SUM(Q47:S47)</f>
        <v>25490</v>
      </c>
      <c r="Q47" s="258">
        <f>'[1]4.Služby občanov'!$N$4</f>
        <v>25490</v>
      </c>
      <c r="R47" s="258">
        <f>'[1]4.Služby občanov'!$O$4</f>
        <v>0</v>
      </c>
      <c r="S47" s="259">
        <f>'[1]4.Služby občanov'!$P$4</f>
        <v>0</v>
      </c>
      <c r="T47" s="260">
        <f>SUM(U47:W47)</f>
        <v>1500</v>
      </c>
      <c r="U47" s="258">
        <f>'[1]4.Služby občanov'!$Q$4</f>
        <v>1500</v>
      </c>
      <c r="V47" s="258">
        <f>'[1]4.Služby občanov'!$R$4</f>
        <v>0</v>
      </c>
      <c r="W47" s="259">
        <f>'[1]4.Služby občanov'!$S$4</f>
        <v>0</v>
      </c>
      <c r="X47" s="260">
        <f>SUM(Y47:AA47)</f>
        <v>26990</v>
      </c>
      <c r="Y47" s="258">
        <f>'[1]4.Služby občanov'!$T$4</f>
        <v>26990</v>
      </c>
      <c r="Z47" s="258">
        <f>'[1]4.Služby občanov'!$U$4</f>
        <v>0</v>
      </c>
      <c r="AA47" s="259">
        <f>'[1]4.Služby občanov'!$V$4</f>
        <v>0</v>
      </c>
    </row>
    <row r="48" spans="1:27" ht="15.75" x14ac:dyDescent="0.25">
      <c r="A48" s="125"/>
      <c r="B48" s="273" t="s">
        <v>204</v>
      </c>
      <c r="C48" s="274" t="s">
        <v>205</v>
      </c>
      <c r="D48" s="260">
        <f t="shared" ref="D48:G48" si="89">SUM(D49:D50)</f>
        <v>26478.920000000002</v>
      </c>
      <c r="E48" s="258">
        <f t="shared" si="89"/>
        <v>26478.920000000002</v>
      </c>
      <c r="F48" s="258">
        <f t="shared" si="89"/>
        <v>0</v>
      </c>
      <c r="G48" s="259">
        <f t="shared" si="89"/>
        <v>0</v>
      </c>
      <c r="H48" s="260">
        <f t="shared" ref="H48:K48" si="90">SUM(H49:H50)</f>
        <v>29173.579999999998</v>
      </c>
      <c r="I48" s="258">
        <f t="shared" si="90"/>
        <v>29173.579999999998</v>
      </c>
      <c r="J48" s="258">
        <f t="shared" si="90"/>
        <v>0</v>
      </c>
      <c r="K48" s="259">
        <f t="shared" si="90"/>
        <v>0</v>
      </c>
      <c r="L48" s="260">
        <f t="shared" ref="L48:O48" si="91">SUM(L49:L50)</f>
        <v>29520</v>
      </c>
      <c r="M48" s="258">
        <f t="shared" si="91"/>
        <v>29520</v>
      </c>
      <c r="N48" s="258">
        <f t="shared" si="91"/>
        <v>0</v>
      </c>
      <c r="O48" s="259">
        <f t="shared" si="91"/>
        <v>0</v>
      </c>
      <c r="P48" s="260">
        <f t="shared" ref="P48:S48" si="92">SUM(P49:P50)</f>
        <v>29520</v>
      </c>
      <c r="Q48" s="258">
        <f t="shared" si="92"/>
        <v>29520</v>
      </c>
      <c r="R48" s="258">
        <f t="shared" si="92"/>
        <v>0</v>
      </c>
      <c r="S48" s="259">
        <f t="shared" si="92"/>
        <v>0</v>
      </c>
      <c r="T48" s="260">
        <f t="shared" ref="T48:W48" si="93">SUM(T49:T50)</f>
        <v>0</v>
      </c>
      <c r="U48" s="258">
        <f t="shared" si="93"/>
        <v>0</v>
      </c>
      <c r="V48" s="258">
        <f t="shared" si="93"/>
        <v>0</v>
      </c>
      <c r="W48" s="259">
        <f t="shared" si="93"/>
        <v>0</v>
      </c>
      <c r="X48" s="260">
        <f t="shared" ref="X48:AA48" si="94">SUM(X49:X50)</f>
        <v>29520</v>
      </c>
      <c r="Y48" s="258">
        <f t="shared" si="94"/>
        <v>29520</v>
      </c>
      <c r="Z48" s="258">
        <f t="shared" si="94"/>
        <v>0</v>
      </c>
      <c r="AA48" s="259">
        <f t="shared" si="94"/>
        <v>0</v>
      </c>
    </row>
    <row r="49" spans="1:27" ht="15.75" x14ac:dyDescent="0.25">
      <c r="A49" s="125"/>
      <c r="B49" s="273">
        <v>1</v>
      </c>
      <c r="C49" s="274" t="s">
        <v>206</v>
      </c>
      <c r="D49" s="260">
        <f>SUM(E49:G49)</f>
        <v>26478.920000000002</v>
      </c>
      <c r="E49" s="258">
        <f>'[1]4.Služby občanov'!$E$17</f>
        <v>26478.920000000002</v>
      </c>
      <c r="F49" s="258">
        <f>'[1]4.Služby občanov'!$F$17</f>
        <v>0</v>
      </c>
      <c r="G49" s="259">
        <f>'[1]4.Služby občanov'!$G$17</f>
        <v>0</v>
      </c>
      <c r="H49" s="260">
        <f>SUM(I49:K49)</f>
        <v>29173.579999999998</v>
      </c>
      <c r="I49" s="258">
        <f>'[1]4.Služby občanov'!$H$17</f>
        <v>29173.579999999998</v>
      </c>
      <c r="J49" s="258">
        <f>'[1]4.Služby občanov'!$I$17</f>
        <v>0</v>
      </c>
      <c r="K49" s="259">
        <f>'[1]4.Služby občanov'!$J$17</f>
        <v>0</v>
      </c>
      <c r="L49" s="260">
        <f>SUM(M49:O49)</f>
        <v>29520</v>
      </c>
      <c r="M49" s="258">
        <f>'[1]4.Služby občanov'!$K$17</f>
        <v>29520</v>
      </c>
      <c r="N49" s="258">
        <f>'[1]4.Služby občanov'!$L$17</f>
        <v>0</v>
      </c>
      <c r="O49" s="259">
        <f>'[1]4.Služby občanov'!$M$17</f>
        <v>0</v>
      </c>
      <c r="P49" s="260">
        <f>SUM(Q49:S49)</f>
        <v>29520</v>
      </c>
      <c r="Q49" s="258">
        <f>'[1]4.Služby občanov'!$N$17</f>
        <v>29520</v>
      </c>
      <c r="R49" s="258">
        <f>'[1]4.Služby občanov'!$O$17</f>
        <v>0</v>
      </c>
      <c r="S49" s="259">
        <f>'[1]4.Služby občanov'!$P$17</f>
        <v>0</v>
      </c>
      <c r="T49" s="260">
        <f>SUM(U49:W49)</f>
        <v>0</v>
      </c>
      <c r="U49" s="258">
        <f>'[1]4.Služby občanov'!$Q$17</f>
        <v>0</v>
      </c>
      <c r="V49" s="258">
        <f>'[1]4.Služby občanov'!$R$17</f>
        <v>0</v>
      </c>
      <c r="W49" s="259">
        <f>'[1]4.Služby občanov'!$S$17</f>
        <v>0</v>
      </c>
      <c r="X49" s="260">
        <f>SUM(Y49:AA49)</f>
        <v>29520</v>
      </c>
      <c r="Y49" s="258">
        <f>'[1]4.Služby občanov'!$T$17</f>
        <v>29520</v>
      </c>
      <c r="Z49" s="258">
        <f>'[1]4.Služby občanov'!$U$17</f>
        <v>0</v>
      </c>
      <c r="AA49" s="259">
        <f>'[1]4.Služby občanov'!$V$17</f>
        <v>0</v>
      </c>
    </row>
    <row r="50" spans="1:27" ht="15.75" x14ac:dyDescent="0.25">
      <c r="A50" s="125"/>
      <c r="B50" s="273">
        <v>2</v>
      </c>
      <c r="C50" s="274" t="s">
        <v>207</v>
      </c>
      <c r="D50" s="260">
        <f t="shared" ref="D50:D51" si="95">SUM(E50:G50)</f>
        <v>0</v>
      </c>
      <c r="E50" s="258">
        <f>'[1]4.Služby občanov'!$E$28</f>
        <v>0</v>
      </c>
      <c r="F50" s="258">
        <f>'[1]4.Služby občanov'!$F$28</f>
        <v>0</v>
      </c>
      <c r="G50" s="259">
        <f>'[1]4.Služby občanov'!$G$28</f>
        <v>0</v>
      </c>
      <c r="H50" s="260">
        <f t="shared" ref="H50:H51" si="96">SUM(I50:K50)</f>
        <v>0</v>
      </c>
      <c r="I50" s="258">
        <f>'[1]4.Služby občanov'!$H$28</f>
        <v>0</v>
      </c>
      <c r="J50" s="258">
        <f>'[1]4.Služby občanov'!$I$28</f>
        <v>0</v>
      </c>
      <c r="K50" s="259">
        <f>'[1]4.Služby občanov'!$J$28</f>
        <v>0</v>
      </c>
      <c r="L50" s="260">
        <f t="shared" ref="L50:L51" si="97">SUM(M50:O50)</f>
        <v>0</v>
      </c>
      <c r="M50" s="258">
        <f>'[1]4.Služby občanov'!$K$28</f>
        <v>0</v>
      </c>
      <c r="N50" s="258">
        <f>'[1]4.Služby občanov'!$L$28</f>
        <v>0</v>
      </c>
      <c r="O50" s="259">
        <f>'[1]4.Služby občanov'!$M$28</f>
        <v>0</v>
      </c>
      <c r="P50" s="260">
        <f t="shared" ref="P50:P51" si="98">SUM(Q50:S50)</f>
        <v>0</v>
      </c>
      <c r="Q50" s="258">
        <f>'[1]4.Služby občanov'!$N$28</f>
        <v>0</v>
      </c>
      <c r="R50" s="258">
        <f>'[1]4.Služby občanov'!$O$28</f>
        <v>0</v>
      </c>
      <c r="S50" s="259">
        <f>'[1]4.Služby občanov'!$P$28</f>
        <v>0</v>
      </c>
      <c r="T50" s="260">
        <f t="shared" ref="T50:T51" si="99">SUM(U50:W50)</f>
        <v>0</v>
      </c>
      <c r="U50" s="258">
        <f>'[1]4.Služby občanov'!$Q$28</f>
        <v>0</v>
      </c>
      <c r="V50" s="258">
        <f>'[1]4.Služby občanov'!$R$28</f>
        <v>0</v>
      </c>
      <c r="W50" s="259">
        <f>'[1]4.Služby občanov'!$S$28</f>
        <v>0</v>
      </c>
      <c r="X50" s="260">
        <f t="shared" ref="X50:X51" si="100">SUM(Y50:AA50)</f>
        <v>0</v>
      </c>
      <c r="Y50" s="258">
        <f>'[1]4.Služby občanov'!$T$28</f>
        <v>0</v>
      </c>
      <c r="Z50" s="258">
        <f>'[1]4.Služby občanov'!$U$28</f>
        <v>0</v>
      </c>
      <c r="AA50" s="259">
        <f>'[1]4.Služby občanov'!$V$28</f>
        <v>0</v>
      </c>
    </row>
    <row r="51" spans="1:27" ht="16.5" outlineLevel="1" thickBot="1" x14ac:dyDescent="0.3">
      <c r="A51" s="125"/>
      <c r="B51" s="283" t="s">
        <v>208</v>
      </c>
      <c r="C51" s="276" t="s">
        <v>209</v>
      </c>
      <c r="D51" s="269">
        <f t="shared" si="95"/>
        <v>0</v>
      </c>
      <c r="E51" s="270">
        <f>'[1]4.Služby občanov'!$E$30</f>
        <v>0</v>
      </c>
      <c r="F51" s="270">
        <f>'[1]4.Služby občanov'!$F$30</f>
        <v>0</v>
      </c>
      <c r="G51" s="303">
        <f>'[1]4.Služby občanov'!$G$30</f>
        <v>0</v>
      </c>
      <c r="H51" s="269">
        <f t="shared" si="96"/>
        <v>0</v>
      </c>
      <c r="I51" s="270">
        <f>'[1]4.Služby občanov'!$H$30</f>
        <v>0</v>
      </c>
      <c r="J51" s="270">
        <f>'[1]4.Služby občanov'!$I$30</f>
        <v>0</v>
      </c>
      <c r="K51" s="303">
        <f>'[1]4.Služby občanov'!$J$30</f>
        <v>0</v>
      </c>
      <c r="L51" s="269">
        <f t="shared" si="97"/>
        <v>0</v>
      </c>
      <c r="M51" s="270">
        <f>'[1]4.Služby občanov'!$K$30</f>
        <v>0</v>
      </c>
      <c r="N51" s="270">
        <f>'[1]4.Služby občanov'!$L$30</f>
        <v>0</v>
      </c>
      <c r="O51" s="303">
        <f>'[1]4.Služby občanov'!$M$30</f>
        <v>0</v>
      </c>
      <c r="P51" s="269">
        <f t="shared" si="98"/>
        <v>0</v>
      </c>
      <c r="Q51" s="270">
        <f>'[1]4.Služby občanov'!$N$30</f>
        <v>0</v>
      </c>
      <c r="R51" s="270">
        <f>'[1]4.Služby občanov'!$O$30</f>
        <v>0</v>
      </c>
      <c r="S51" s="303">
        <f>'[1]4.Služby občanov'!$P$30</f>
        <v>0</v>
      </c>
      <c r="T51" s="269">
        <f t="shared" si="99"/>
        <v>0</v>
      </c>
      <c r="U51" s="270">
        <f>'[1]4.Služby občanov'!$Q$30</f>
        <v>0</v>
      </c>
      <c r="V51" s="270">
        <f>'[1]4.Služby občanov'!$R$30</f>
        <v>0</v>
      </c>
      <c r="W51" s="303">
        <f>'[1]4.Služby občanov'!$S$30</f>
        <v>0</v>
      </c>
      <c r="X51" s="269">
        <f t="shared" si="100"/>
        <v>0</v>
      </c>
      <c r="Y51" s="270">
        <f>'[1]4.Služby občanov'!$T$30</f>
        <v>0</v>
      </c>
      <c r="Z51" s="270">
        <f>'[1]4.Služby občanov'!$U$30</f>
        <v>0</v>
      </c>
      <c r="AA51" s="303">
        <f>'[1]4.Služby občanov'!$V$30</f>
        <v>0</v>
      </c>
    </row>
    <row r="52" spans="1:27" s="123" customFormat="1" ht="15.75" x14ac:dyDescent="0.25">
      <c r="A52" s="125"/>
      <c r="B52" s="277" t="s">
        <v>210</v>
      </c>
      <c r="C52" s="284"/>
      <c r="D52" s="266">
        <f t="shared" ref="D52:G52" si="101">D53+D58+D60+D59+D65</f>
        <v>1208470.3800000004</v>
      </c>
      <c r="E52" s="267">
        <f t="shared" si="101"/>
        <v>1087879.9600000002</v>
      </c>
      <c r="F52" s="267">
        <f t="shared" si="101"/>
        <v>120590.42</v>
      </c>
      <c r="G52" s="268">
        <f t="shared" si="101"/>
        <v>0</v>
      </c>
      <c r="H52" s="266">
        <f t="shared" ref="H52:K52" si="102">H53+H58+H60+H59+H65</f>
        <v>1206935.3100000003</v>
      </c>
      <c r="I52" s="267">
        <f t="shared" si="102"/>
        <v>1091935.3100000005</v>
      </c>
      <c r="J52" s="267">
        <f t="shared" si="102"/>
        <v>115000</v>
      </c>
      <c r="K52" s="268">
        <f t="shared" si="102"/>
        <v>0</v>
      </c>
      <c r="L52" s="266">
        <f t="shared" ref="L52:O52" si="103">L53+L58+L60+L59+L65</f>
        <v>1359160</v>
      </c>
      <c r="M52" s="267">
        <f t="shared" si="103"/>
        <v>1234160</v>
      </c>
      <c r="N52" s="267">
        <f t="shared" si="103"/>
        <v>125000</v>
      </c>
      <c r="O52" s="268">
        <f t="shared" si="103"/>
        <v>0</v>
      </c>
      <c r="P52" s="266">
        <f t="shared" ref="P52:S52" si="104">P53+P58+P60+P59+P65</f>
        <v>1365347</v>
      </c>
      <c r="Q52" s="267">
        <f t="shared" si="104"/>
        <v>1233247</v>
      </c>
      <c r="R52" s="267">
        <f t="shared" si="104"/>
        <v>132100</v>
      </c>
      <c r="S52" s="268">
        <f t="shared" si="104"/>
        <v>0</v>
      </c>
      <c r="T52" s="266">
        <f t="shared" ref="T52:W52" si="105">T53+T58+T60+T59+T65</f>
        <v>21000</v>
      </c>
      <c r="U52" s="267">
        <f t="shared" si="105"/>
        <v>21000</v>
      </c>
      <c r="V52" s="267">
        <f t="shared" si="105"/>
        <v>0</v>
      </c>
      <c r="W52" s="268">
        <f t="shared" si="105"/>
        <v>0</v>
      </c>
      <c r="X52" s="266">
        <f t="shared" ref="X52:AA52" si="106">X53+X58+X60+X59+X65</f>
        <v>1386347</v>
      </c>
      <c r="Y52" s="267">
        <f t="shared" si="106"/>
        <v>1254247</v>
      </c>
      <c r="Z52" s="267">
        <f t="shared" si="106"/>
        <v>132100</v>
      </c>
      <c r="AA52" s="268">
        <f t="shared" si="106"/>
        <v>0</v>
      </c>
    </row>
    <row r="53" spans="1:27" ht="15.75" x14ac:dyDescent="0.25">
      <c r="A53" s="125"/>
      <c r="B53" s="285" t="s">
        <v>211</v>
      </c>
      <c r="C53" s="274" t="s">
        <v>212</v>
      </c>
      <c r="D53" s="260">
        <f t="shared" ref="D53:G53" si="107">SUM(D54:D57)</f>
        <v>821266.06000000017</v>
      </c>
      <c r="E53" s="258">
        <f t="shared" si="107"/>
        <v>815675.64000000013</v>
      </c>
      <c r="F53" s="258">
        <f t="shared" si="107"/>
        <v>5590.42</v>
      </c>
      <c r="G53" s="259">
        <f t="shared" si="107"/>
        <v>0</v>
      </c>
      <c r="H53" s="260">
        <f t="shared" ref="H53:K53" si="108">SUM(H54:H57)</f>
        <v>881333.04000000027</v>
      </c>
      <c r="I53" s="258">
        <f t="shared" si="108"/>
        <v>881333.04000000027</v>
      </c>
      <c r="J53" s="258">
        <f t="shared" si="108"/>
        <v>0</v>
      </c>
      <c r="K53" s="259">
        <f t="shared" si="108"/>
        <v>0</v>
      </c>
      <c r="L53" s="260">
        <f t="shared" ref="L53:O53" si="109">SUM(L54:L57)</f>
        <v>1005010</v>
      </c>
      <c r="M53" s="258">
        <f t="shared" si="109"/>
        <v>995010</v>
      </c>
      <c r="N53" s="258">
        <f t="shared" si="109"/>
        <v>10000</v>
      </c>
      <c r="O53" s="259">
        <f t="shared" si="109"/>
        <v>0</v>
      </c>
      <c r="P53" s="260">
        <f t="shared" ref="P53:S53" si="110">SUM(P54:P57)</f>
        <v>1010010</v>
      </c>
      <c r="Q53" s="258">
        <f t="shared" si="110"/>
        <v>992910</v>
      </c>
      <c r="R53" s="258">
        <f t="shared" si="110"/>
        <v>17100</v>
      </c>
      <c r="S53" s="259">
        <f t="shared" si="110"/>
        <v>0</v>
      </c>
      <c r="T53" s="260">
        <f t="shared" ref="T53:W53" si="111">SUM(T54:T57)</f>
        <v>-1000</v>
      </c>
      <c r="U53" s="258">
        <f t="shared" si="111"/>
        <v>-1000</v>
      </c>
      <c r="V53" s="258">
        <f t="shared" si="111"/>
        <v>0</v>
      </c>
      <c r="W53" s="259">
        <f t="shared" si="111"/>
        <v>0</v>
      </c>
      <c r="X53" s="260">
        <f t="shared" ref="X53:AA53" si="112">SUM(X54:X57)</f>
        <v>1009010</v>
      </c>
      <c r="Y53" s="258">
        <f t="shared" si="112"/>
        <v>991910</v>
      </c>
      <c r="Z53" s="258">
        <f t="shared" si="112"/>
        <v>17100</v>
      </c>
      <c r="AA53" s="259">
        <f t="shared" si="112"/>
        <v>0</v>
      </c>
    </row>
    <row r="54" spans="1:27" ht="15.75" x14ac:dyDescent="0.25">
      <c r="A54" s="125"/>
      <c r="B54" s="273">
        <v>1</v>
      </c>
      <c r="C54" s="274" t="s">
        <v>213</v>
      </c>
      <c r="D54" s="260">
        <f>SUM(E54:G54)</f>
        <v>580219.65000000014</v>
      </c>
      <c r="E54" s="258">
        <f>'[1]5.Bezpečnosť, právo a por.'!$E$5</f>
        <v>574629.2300000001</v>
      </c>
      <c r="F54" s="258">
        <f>'[1]5.Bezpečnosť, právo a por.'!$F$5</f>
        <v>5590.42</v>
      </c>
      <c r="G54" s="259">
        <f>'[1]5.Bezpečnosť, právo a por.'!$G$5</f>
        <v>0</v>
      </c>
      <c r="H54" s="260">
        <f>SUM(I54:K54)</f>
        <v>614484.14000000025</v>
      </c>
      <c r="I54" s="258">
        <f>'[1]5.Bezpečnosť, právo a por.'!$H$5</f>
        <v>614484.14000000025</v>
      </c>
      <c r="J54" s="258">
        <f>'[1]5.Bezpečnosť, právo a por.'!$I$5</f>
        <v>0</v>
      </c>
      <c r="K54" s="259">
        <f>'[1]5.Bezpečnosť, právo a por.'!$J$5</f>
        <v>0</v>
      </c>
      <c r="L54" s="260">
        <f>SUM(M54:O54)</f>
        <v>693160</v>
      </c>
      <c r="M54" s="258">
        <f>'[1]5.Bezpečnosť, právo a por.'!$K$5</f>
        <v>683160</v>
      </c>
      <c r="N54" s="258">
        <f>'[1]5.Bezpečnosť, právo a por.'!$L$5</f>
        <v>10000</v>
      </c>
      <c r="O54" s="259">
        <f>'[1]5.Bezpečnosť, právo a por.'!$M$5</f>
        <v>0</v>
      </c>
      <c r="P54" s="260">
        <f>SUM(Q54:S54)</f>
        <v>698160</v>
      </c>
      <c r="Q54" s="258">
        <f>'[1]5.Bezpečnosť, právo a por.'!$N$5</f>
        <v>681060</v>
      </c>
      <c r="R54" s="258">
        <f>'[1]5.Bezpečnosť, právo a por.'!$O$5</f>
        <v>17100</v>
      </c>
      <c r="S54" s="259">
        <f>'[1]5.Bezpečnosť, právo a por.'!$P$5</f>
        <v>0</v>
      </c>
      <c r="T54" s="260">
        <f>SUM(U54:W54)</f>
        <v>0</v>
      </c>
      <c r="U54" s="258">
        <f>'[1]5.Bezpečnosť, právo a por.'!$Q$5</f>
        <v>0</v>
      </c>
      <c r="V54" s="258">
        <f>'[1]5.Bezpečnosť, právo a por.'!$R$5</f>
        <v>0</v>
      </c>
      <c r="W54" s="259">
        <f>'[1]5.Bezpečnosť, právo a por.'!$S$5</f>
        <v>0</v>
      </c>
      <c r="X54" s="260">
        <f>SUM(Y54:AA54)</f>
        <v>698160</v>
      </c>
      <c r="Y54" s="258">
        <f>'[1]5.Bezpečnosť, právo a por.'!$T$5</f>
        <v>681060</v>
      </c>
      <c r="Z54" s="258">
        <f>'[1]5.Bezpečnosť, právo a por.'!$U$5</f>
        <v>17100</v>
      </c>
      <c r="AA54" s="259">
        <f>'[1]5.Bezpečnosť, právo a por.'!$V$5</f>
        <v>0</v>
      </c>
    </row>
    <row r="55" spans="1:27" ht="15.75" x14ac:dyDescent="0.25">
      <c r="B55" s="273">
        <v>2</v>
      </c>
      <c r="C55" s="274" t="s">
        <v>214</v>
      </c>
      <c r="D55" s="260">
        <f t="shared" ref="D55:D59" si="113">SUM(E55:G55)</f>
        <v>126077.17</v>
      </c>
      <c r="E55" s="258">
        <f>'[1]5.Bezpečnosť, právo a por.'!$E$60</f>
        <v>126077.17</v>
      </c>
      <c r="F55" s="258">
        <f>'[1]5.Bezpečnosť, právo a por.'!$F$60</f>
        <v>0</v>
      </c>
      <c r="G55" s="259">
        <f>'[1]5.Bezpečnosť, právo a por.'!$G$60</f>
        <v>0</v>
      </c>
      <c r="H55" s="260">
        <f t="shared" ref="H55:H59" si="114">SUM(I55:K55)</f>
        <v>135675.71999999997</v>
      </c>
      <c r="I55" s="258">
        <f>'[1]5.Bezpečnosť, právo a por.'!$H$60</f>
        <v>135675.71999999997</v>
      </c>
      <c r="J55" s="258">
        <f>'[1]5.Bezpečnosť, právo a por.'!$I$60</f>
        <v>0</v>
      </c>
      <c r="K55" s="259">
        <f>'[1]5.Bezpečnosť, právo a por.'!$J$60</f>
        <v>0</v>
      </c>
      <c r="L55" s="260">
        <f t="shared" ref="L55:L59" si="115">SUM(M55:O55)</f>
        <v>162150</v>
      </c>
      <c r="M55" s="258">
        <f>'[1]5.Bezpečnosť, právo a por.'!$K$60</f>
        <v>162150</v>
      </c>
      <c r="N55" s="258">
        <f>'[1]5.Bezpečnosť, právo a por.'!$L$60</f>
        <v>0</v>
      </c>
      <c r="O55" s="259">
        <f>'[1]5.Bezpečnosť, právo a por.'!$M$60</f>
        <v>0</v>
      </c>
      <c r="P55" s="260">
        <f t="shared" ref="P55:P59" si="116">SUM(Q55:S55)</f>
        <v>162150</v>
      </c>
      <c r="Q55" s="258">
        <f>'[1]5.Bezpečnosť, právo a por.'!$N$60</f>
        <v>162150</v>
      </c>
      <c r="R55" s="258">
        <f>'[1]5.Bezpečnosť, právo a por.'!$O$60</f>
        <v>0</v>
      </c>
      <c r="S55" s="259">
        <f>'[1]5.Bezpečnosť, právo a por.'!$P$60</f>
        <v>0</v>
      </c>
      <c r="T55" s="260">
        <f t="shared" ref="T55:T59" si="117">SUM(U55:W55)</f>
        <v>0</v>
      </c>
      <c r="U55" s="258">
        <f>'[1]5.Bezpečnosť, právo a por.'!$Q$60</f>
        <v>0</v>
      </c>
      <c r="V55" s="258">
        <f>'[1]5.Bezpečnosť, právo a por.'!$R$60</f>
        <v>0</v>
      </c>
      <c r="W55" s="259">
        <f>'[1]5.Bezpečnosť, právo a por.'!$S$60</f>
        <v>0</v>
      </c>
      <c r="X55" s="260">
        <f t="shared" ref="X55:X59" si="118">SUM(Y55:AA55)</f>
        <v>162150</v>
      </c>
      <c r="Y55" s="258">
        <f>'[1]5.Bezpečnosť, právo a por.'!$T$60</f>
        <v>162150</v>
      </c>
      <c r="Z55" s="258">
        <f>'[1]5.Bezpečnosť, právo a por.'!$U$60</f>
        <v>0</v>
      </c>
      <c r="AA55" s="259">
        <f>'[1]5.Bezpečnosť, právo a por.'!$V$60</f>
        <v>0</v>
      </c>
    </row>
    <row r="56" spans="1:27" ht="15.75" x14ac:dyDescent="0.25">
      <c r="A56" s="124"/>
      <c r="B56" s="273">
        <v>3</v>
      </c>
      <c r="C56" s="274" t="s">
        <v>215</v>
      </c>
      <c r="D56" s="260">
        <f t="shared" si="113"/>
        <v>57242.55</v>
      </c>
      <c r="E56" s="258">
        <f>'[1]5.Bezpečnosť, právo a por.'!$E$82</f>
        <v>57242.55</v>
      </c>
      <c r="F56" s="258">
        <f>'[1]5.Bezpečnosť, právo a por.'!$F$82</f>
        <v>0</v>
      </c>
      <c r="G56" s="259">
        <f>'[1]5.Bezpečnosť, právo a por.'!$G$82</f>
        <v>0</v>
      </c>
      <c r="H56" s="260">
        <f t="shared" si="114"/>
        <v>64184.92</v>
      </c>
      <c r="I56" s="258">
        <f>'[1]5.Bezpečnosť, právo a por.'!$H$82</f>
        <v>64184.92</v>
      </c>
      <c r="J56" s="258">
        <f>'[1]5.Bezpečnosť, právo a por.'!$I$82</f>
        <v>0</v>
      </c>
      <c r="K56" s="259">
        <f>'[1]5.Bezpečnosť, právo a por.'!$J$82</f>
        <v>0</v>
      </c>
      <c r="L56" s="260">
        <f t="shared" si="115"/>
        <v>74000</v>
      </c>
      <c r="M56" s="258">
        <f>'[1]5.Bezpečnosť, právo a por.'!$K$82</f>
        <v>74000</v>
      </c>
      <c r="N56" s="258">
        <f>'[1]5.Bezpečnosť, právo a por.'!$L$82</f>
        <v>0</v>
      </c>
      <c r="O56" s="259">
        <f>'[1]5.Bezpečnosť, právo a por.'!$M$82</f>
        <v>0</v>
      </c>
      <c r="P56" s="260">
        <f t="shared" si="116"/>
        <v>74000</v>
      </c>
      <c r="Q56" s="258">
        <f>'[1]5.Bezpečnosť, právo a por.'!$N$82</f>
        <v>74000</v>
      </c>
      <c r="R56" s="258">
        <f>'[1]5.Bezpečnosť, právo a por.'!$O$82</f>
        <v>0</v>
      </c>
      <c r="S56" s="259">
        <f>'[1]5.Bezpečnosť, právo a por.'!$P$82</f>
        <v>0</v>
      </c>
      <c r="T56" s="260">
        <f t="shared" si="117"/>
        <v>0</v>
      </c>
      <c r="U56" s="258">
        <f>'[1]5.Bezpečnosť, právo a por.'!$Q$82</f>
        <v>0</v>
      </c>
      <c r="V56" s="258">
        <f>'[1]5.Bezpečnosť, právo a por.'!$R$82</f>
        <v>0</v>
      </c>
      <c r="W56" s="259">
        <f>'[1]5.Bezpečnosť, právo a por.'!$S$82</f>
        <v>0</v>
      </c>
      <c r="X56" s="260">
        <f t="shared" si="118"/>
        <v>74000</v>
      </c>
      <c r="Y56" s="258">
        <f>'[1]5.Bezpečnosť, právo a por.'!$T$82</f>
        <v>74000</v>
      </c>
      <c r="Z56" s="258">
        <f>'[1]5.Bezpečnosť, právo a por.'!$U$82</f>
        <v>0</v>
      </c>
      <c r="AA56" s="259">
        <f>'[1]5.Bezpečnosť, právo a por.'!$V$82</f>
        <v>0</v>
      </c>
    </row>
    <row r="57" spans="1:27" ht="15.75" x14ac:dyDescent="0.25">
      <c r="A57" s="124"/>
      <c r="B57" s="273">
        <v>4</v>
      </c>
      <c r="C57" s="274" t="s">
        <v>216</v>
      </c>
      <c r="D57" s="260">
        <f t="shared" si="113"/>
        <v>57726.689999999995</v>
      </c>
      <c r="E57" s="258">
        <f>'[1]5.Bezpečnosť, právo a por.'!$E$85</f>
        <v>57726.689999999995</v>
      </c>
      <c r="F57" s="258">
        <f>'[1]5.Bezpečnosť, právo a por.'!$F$85</f>
        <v>0</v>
      </c>
      <c r="G57" s="259">
        <f>'[1]5.Bezpečnosť, právo a por.'!$G$85</f>
        <v>0</v>
      </c>
      <c r="H57" s="260">
        <f t="shared" si="114"/>
        <v>66988.260000000009</v>
      </c>
      <c r="I57" s="258">
        <f>'[1]5.Bezpečnosť, právo a por.'!$H$85</f>
        <v>66988.260000000009</v>
      </c>
      <c r="J57" s="258">
        <f>'[1]5.Bezpečnosť, právo a por.'!$I$85</f>
        <v>0</v>
      </c>
      <c r="K57" s="259">
        <f>'[1]5.Bezpečnosť, právo a por.'!$J$85</f>
        <v>0</v>
      </c>
      <c r="L57" s="260">
        <f t="shared" si="115"/>
        <v>75700</v>
      </c>
      <c r="M57" s="258">
        <f>'[1]5.Bezpečnosť, právo a por.'!$K$85</f>
        <v>75700</v>
      </c>
      <c r="N57" s="258">
        <f>'[1]5.Bezpečnosť, právo a por.'!$L$85</f>
        <v>0</v>
      </c>
      <c r="O57" s="259">
        <f>'[1]5.Bezpečnosť, právo a por.'!$M$85</f>
        <v>0</v>
      </c>
      <c r="P57" s="260">
        <f t="shared" si="116"/>
        <v>75700</v>
      </c>
      <c r="Q57" s="258">
        <f>'[1]5.Bezpečnosť, právo a por.'!$N$85</f>
        <v>75700</v>
      </c>
      <c r="R57" s="258">
        <f>'[1]5.Bezpečnosť, právo a por.'!$O$85</f>
        <v>0</v>
      </c>
      <c r="S57" s="259">
        <f>'[1]5.Bezpečnosť, právo a por.'!$P$85</f>
        <v>0</v>
      </c>
      <c r="T57" s="260">
        <f t="shared" si="117"/>
        <v>-1000</v>
      </c>
      <c r="U57" s="258">
        <f>'[1]5.Bezpečnosť, právo a por.'!$Q$85</f>
        <v>-1000</v>
      </c>
      <c r="V57" s="258">
        <f>'[1]5.Bezpečnosť, právo a por.'!$R$85</f>
        <v>0</v>
      </c>
      <c r="W57" s="259">
        <f>'[1]5.Bezpečnosť, právo a por.'!$S$85</f>
        <v>0</v>
      </c>
      <c r="X57" s="260">
        <f t="shared" si="118"/>
        <v>74700</v>
      </c>
      <c r="Y57" s="258">
        <f>'[1]5.Bezpečnosť, právo a por.'!$T$85</f>
        <v>74700</v>
      </c>
      <c r="Z57" s="258">
        <f>'[1]5.Bezpečnosť, právo a por.'!$U$85</f>
        <v>0</v>
      </c>
      <c r="AA57" s="259">
        <f>'[1]5.Bezpečnosť, právo a por.'!$V$85</f>
        <v>0</v>
      </c>
    </row>
    <row r="58" spans="1:27" ht="15.75" x14ac:dyDescent="0.25">
      <c r="B58" s="285" t="s">
        <v>217</v>
      </c>
      <c r="C58" s="274" t="s">
        <v>218</v>
      </c>
      <c r="D58" s="260">
        <f t="shared" si="113"/>
        <v>77467.839999999997</v>
      </c>
      <c r="E58" s="258">
        <f>'[1]5.Bezpečnosť, právo a por.'!$E$93</f>
        <v>77467.839999999997</v>
      </c>
      <c r="F58" s="258">
        <f>'[1]5.Bezpečnosť, právo a por.'!$F$93</f>
        <v>0</v>
      </c>
      <c r="G58" s="259">
        <f>'[1]5.Bezpečnosť, právo a por.'!$G$93</f>
        <v>0</v>
      </c>
      <c r="H58" s="260">
        <f t="shared" si="114"/>
        <v>1786.95</v>
      </c>
      <c r="I58" s="258">
        <f>'[1]5.Bezpečnosť, právo a por.'!$H$93</f>
        <v>1786.95</v>
      </c>
      <c r="J58" s="258">
        <f>'[1]5.Bezpečnosť, právo a por.'!$I$93</f>
        <v>0</v>
      </c>
      <c r="K58" s="259">
        <f>'[1]5.Bezpečnosť, právo a por.'!$J$93</f>
        <v>0</v>
      </c>
      <c r="L58" s="260">
        <f t="shared" si="115"/>
        <v>5000</v>
      </c>
      <c r="M58" s="258">
        <f>'[1]5.Bezpečnosť, právo a por.'!$K$93</f>
        <v>5000</v>
      </c>
      <c r="N58" s="258">
        <f>'[1]5.Bezpečnosť, právo a por.'!$L$93</f>
        <v>0</v>
      </c>
      <c r="O58" s="259">
        <f>'[1]5.Bezpečnosť, právo a por.'!$M$93</f>
        <v>0</v>
      </c>
      <c r="P58" s="260">
        <f t="shared" si="116"/>
        <v>5000</v>
      </c>
      <c r="Q58" s="258">
        <f>'[1]5.Bezpečnosť, právo a por.'!$N$93</f>
        <v>5000</v>
      </c>
      <c r="R58" s="258">
        <f>'[1]5.Bezpečnosť, právo a por.'!$O$93</f>
        <v>0</v>
      </c>
      <c r="S58" s="259">
        <f>'[1]5.Bezpečnosť, právo a por.'!$P$93</f>
        <v>0</v>
      </c>
      <c r="T58" s="260">
        <f t="shared" si="117"/>
        <v>0</v>
      </c>
      <c r="U58" s="258">
        <f>'[1]5.Bezpečnosť, právo a por.'!$Q$93</f>
        <v>0</v>
      </c>
      <c r="V58" s="258">
        <f>'[1]5.Bezpečnosť, právo a por.'!$R$93</f>
        <v>0</v>
      </c>
      <c r="W58" s="259">
        <f>'[1]5.Bezpečnosť, právo a por.'!$S$93</f>
        <v>0</v>
      </c>
      <c r="X58" s="260">
        <f t="shared" si="118"/>
        <v>5000</v>
      </c>
      <c r="Y58" s="258">
        <f>'[1]5.Bezpečnosť, právo a por.'!$T$93</f>
        <v>5000</v>
      </c>
      <c r="Z58" s="258">
        <f>'[1]5.Bezpečnosť, právo a por.'!$U$93</f>
        <v>0</v>
      </c>
      <c r="AA58" s="259">
        <f>'[1]5.Bezpečnosť, právo a por.'!$V$93</f>
        <v>0</v>
      </c>
    </row>
    <row r="59" spans="1:27" ht="15.75" x14ac:dyDescent="0.25">
      <c r="B59" s="285" t="s">
        <v>219</v>
      </c>
      <c r="C59" s="274" t="s">
        <v>220</v>
      </c>
      <c r="D59" s="260">
        <f t="shared" si="113"/>
        <v>3509.87</v>
      </c>
      <c r="E59" s="258">
        <f>'[1]5.Bezpečnosť, právo a por.'!$E$95</f>
        <v>3509.87</v>
      </c>
      <c r="F59" s="258">
        <f>'[1]5.Bezpečnosť, právo a por.'!$F$95</f>
        <v>0</v>
      </c>
      <c r="G59" s="259">
        <f>'[1]5.Bezpečnosť, právo a por.'!$G$95</f>
        <v>0</v>
      </c>
      <c r="H59" s="260">
        <f t="shared" si="114"/>
        <v>5423.37</v>
      </c>
      <c r="I59" s="258">
        <f>'[1]5.Bezpečnosť, právo a por.'!$H$95</f>
        <v>5423.37</v>
      </c>
      <c r="J59" s="258">
        <f>'[1]5.Bezpečnosť, právo a por.'!$I$95</f>
        <v>0</v>
      </c>
      <c r="K59" s="259">
        <f>'[1]5.Bezpečnosť, právo a por.'!$J$95</f>
        <v>0</v>
      </c>
      <c r="L59" s="260">
        <f t="shared" si="115"/>
        <v>6150</v>
      </c>
      <c r="M59" s="258">
        <f>'[1]5.Bezpečnosť, právo a por.'!$K$95</f>
        <v>6150</v>
      </c>
      <c r="N59" s="258">
        <f>'[1]5.Bezpečnosť, právo a por.'!$L$95</f>
        <v>0</v>
      </c>
      <c r="O59" s="259">
        <f>'[1]5.Bezpečnosť, právo a por.'!$M$95</f>
        <v>0</v>
      </c>
      <c r="P59" s="260">
        <f t="shared" si="116"/>
        <v>6150</v>
      </c>
      <c r="Q59" s="258">
        <f>'[1]5.Bezpečnosť, právo a por.'!$N$95</f>
        <v>6150</v>
      </c>
      <c r="R59" s="258">
        <f>'[1]5.Bezpečnosť, právo a por.'!$O$95</f>
        <v>0</v>
      </c>
      <c r="S59" s="259">
        <f>'[1]5.Bezpečnosť, právo a por.'!$P$95</f>
        <v>0</v>
      </c>
      <c r="T59" s="260">
        <f t="shared" si="117"/>
        <v>2000</v>
      </c>
      <c r="U59" s="258">
        <f>'[1]5.Bezpečnosť, právo a por.'!$Q$95</f>
        <v>2000</v>
      </c>
      <c r="V59" s="258">
        <f>'[1]5.Bezpečnosť, právo a por.'!$R$95</f>
        <v>0</v>
      </c>
      <c r="W59" s="259">
        <f>'[1]5.Bezpečnosť, právo a por.'!$S$95</f>
        <v>0</v>
      </c>
      <c r="X59" s="260">
        <f t="shared" si="118"/>
        <v>8150</v>
      </c>
      <c r="Y59" s="258">
        <f>'[1]5.Bezpečnosť, právo a por.'!$T$95</f>
        <v>8150</v>
      </c>
      <c r="Z59" s="258">
        <f>'[1]5.Bezpečnosť, právo a por.'!$U$95</f>
        <v>0</v>
      </c>
      <c r="AA59" s="259">
        <f>'[1]5.Bezpečnosť, právo a por.'!$V$95</f>
        <v>0</v>
      </c>
    </row>
    <row r="60" spans="1:27" ht="15.75" x14ac:dyDescent="0.25">
      <c r="B60" s="285" t="s">
        <v>221</v>
      </c>
      <c r="C60" s="274" t="s">
        <v>222</v>
      </c>
      <c r="D60" s="260">
        <f t="shared" ref="D60:G60" si="119">SUM(D61:D64)</f>
        <v>298226.61</v>
      </c>
      <c r="E60" s="258">
        <f t="shared" si="119"/>
        <v>183226.61</v>
      </c>
      <c r="F60" s="258">
        <f t="shared" si="119"/>
        <v>115000</v>
      </c>
      <c r="G60" s="259">
        <f t="shared" si="119"/>
        <v>0</v>
      </c>
      <c r="H60" s="260">
        <f t="shared" ref="H60:K60" si="120">SUM(H61:H64)</f>
        <v>312619.33999999997</v>
      </c>
      <c r="I60" s="258">
        <f t="shared" si="120"/>
        <v>197619.34</v>
      </c>
      <c r="J60" s="258">
        <f t="shared" si="120"/>
        <v>115000</v>
      </c>
      <c r="K60" s="259">
        <f t="shared" si="120"/>
        <v>0</v>
      </c>
      <c r="L60" s="260">
        <f t="shared" ref="L60:O60" si="121">SUM(L61:L64)</f>
        <v>335000</v>
      </c>
      <c r="M60" s="258">
        <f t="shared" si="121"/>
        <v>220000</v>
      </c>
      <c r="N60" s="258">
        <f t="shared" si="121"/>
        <v>115000</v>
      </c>
      <c r="O60" s="259">
        <f t="shared" si="121"/>
        <v>0</v>
      </c>
      <c r="P60" s="260">
        <f t="shared" ref="P60:S60" si="122">SUM(P61:P64)</f>
        <v>335000</v>
      </c>
      <c r="Q60" s="258">
        <f t="shared" si="122"/>
        <v>220000</v>
      </c>
      <c r="R60" s="258">
        <f t="shared" si="122"/>
        <v>115000</v>
      </c>
      <c r="S60" s="259">
        <f t="shared" si="122"/>
        <v>0</v>
      </c>
      <c r="T60" s="260">
        <f t="shared" ref="T60:W60" si="123">SUM(T61:T64)</f>
        <v>20000</v>
      </c>
      <c r="U60" s="258">
        <f t="shared" si="123"/>
        <v>20000</v>
      </c>
      <c r="V60" s="258">
        <f t="shared" si="123"/>
        <v>0</v>
      </c>
      <c r="W60" s="259">
        <f t="shared" si="123"/>
        <v>0</v>
      </c>
      <c r="X60" s="260">
        <f t="shared" ref="X60:AA60" si="124">SUM(X61:X64)</f>
        <v>355000</v>
      </c>
      <c r="Y60" s="258">
        <f t="shared" si="124"/>
        <v>240000</v>
      </c>
      <c r="Z60" s="258">
        <f t="shared" si="124"/>
        <v>115000</v>
      </c>
      <c r="AA60" s="259">
        <f t="shared" si="124"/>
        <v>0</v>
      </c>
    </row>
    <row r="61" spans="1:27" ht="15.75" x14ac:dyDescent="0.25">
      <c r="B61" s="273">
        <v>1</v>
      </c>
      <c r="C61" s="274" t="s">
        <v>223</v>
      </c>
      <c r="D61" s="260">
        <f>SUM(E61:G61)</f>
        <v>115000</v>
      </c>
      <c r="E61" s="258">
        <f>'[1]5.Bezpečnosť, právo a por.'!$E$113</f>
        <v>0</v>
      </c>
      <c r="F61" s="258">
        <f>'[1]5.Bezpečnosť, právo a por.'!$F$113</f>
        <v>115000</v>
      </c>
      <c r="G61" s="259">
        <f>'[1]5.Bezpečnosť, právo a por.'!$G$113</f>
        <v>0</v>
      </c>
      <c r="H61" s="260">
        <f>SUM(I61:K61)</f>
        <v>115000</v>
      </c>
      <c r="I61" s="258">
        <f>'[1]5.Bezpečnosť, právo a por.'!$H$113</f>
        <v>0</v>
      </c>
      <c r="J61" s="258">
        <f>'[1]5.Bezpečnosť, právo a por.'!$I$113</f>
        <v>115000</v>
      </c>
      <c r="K61" s="259">
        <f>'[1]5.Bezpečnosť, právo a por.'!$J$113</f>
        <v>0</v>
      </c>
      <c r="L61" s="260">
        <f>SUM(M61:O61)</f>
        <v>115000</v>
      </c>
      <c r="M61" s="258">
        <f>'[1]5.Bezpečnosť, právo a por.'!$K$113</f>
        <v>0</v>
      </c>
      <c r="N61" s="258">
        <f>'[1]5.Bezpečnosť, právo a por.'!$L$113</f>
        <v>115000</v>
      </c>
      <c r="O61" s="259">
        <f>'[1]5.Bezpečnosť, právo a por.'!$M$113</f>
        <v>0</v>
      </c>
      <c r="P61" s="260">
        <f>SUM(Q61:S61)</f>
        <v>115000</v>
      </c>
      <c r="Q61" s="258">
        <f>'[1]5.Bezpečnosť, právo a por.'!$N$113</f>
        <v>0</v>
      </c>
      <c r="R61" s="258">
        <f>'[1]5.Bezpečnosť, právo a por.'!$O$113</f>
        <v>115000</v>
      </c>
      <c r="S61" s="259">
        <f>'[1]5.Bezpečnosť, právo a por.'!$P$113</f>
        <v>0</v>
      </c>
      <c r="T61" s="260">
        <f>SUM(U61:W61)</f>
        <v>0</v>
      </c>
      <c r="U61" s="258">
        <f>'[1]5.Bezpečnosť, právo a por.'!$Q$113</f>
        <v>0</v>
      </c>
      <c r="V61" s="258">
        <f>'[1]5.Bezpečnosť, právo a por.'!$R$113</f>
        <v>0</v>
      </c>
      <c r="W61" s="259">
        <f>'[1]5.Bezpečnosť, právo a por.'!$S$113</f>
        <v>0</v>
      </c>
      <c r="X61" s="260">
        <f>SUM(Y61:AA61)</f>
        <v>115000</v>
      </c>
      <c r="Y61" s="258">
        <f>'[1]5.Bezpečnosť, právo a por.'!$T$113</f>
        <v>0</v>
      </c>
      <c r="Z61" s="258">
        <f>'[1]5.Bezpečnosť, právo a por.'!$U$113</f>
        <v>115000</v>
      </c>
      <c r="AA61" s="259">
        <f>'[1]5.Bezpečnosť, právo a por.'!$V$113</f>
        <v>0</v>
      </c>
    </row>
    <row r="62" spans="1:27" ht="15.75" x14ac:dyDescent="0.25">
      <c r="B62" s="273">
        <v>2</v>
      </c>
      <c r="C62" s="274" t="s">
        <v>224</v>
      </c>
      <c r="D62" s="260">
        <f t="shared" ref="D62:D64" si="125">SUM(E62:G62)</f>
        <v>88711.37</v>
      </c>
      <c r="E62" s="258">
        <f>'[1]5.Bezpečnosť, právo a por.'!$E$120</f>
        <v>88711.37</v>
      </c>
      <c r="F62" s="258">
        <f>'[1]5.Bezpečnosť, právo a por.'!$F$120</f>
        <v>0</v>
      </c>
      <c r="G62" s="259">
        <f>'[1]5.Bezpečnosť, právo a por.'!$G$120</f>
        <v>0</v>
      </c>
      <c r="H62" s="260">
        <f t="shared" ref="H62:H64" si="126">SUM(I62:K62)</f>
        <v>95542.59</v>
      </c>
      <c r="I62" s="258">
        <f>'[1]5.Bezpečnosť, právo a por.'!$H$120</f>
        <v>95542.59</v>
      </c>
      <c r="J62" s="258">
        <f>'[1]5.Bezpečnosť, právo a por.'!$I$120</f>
        <v>0</v>
      </c>
      <c r="K62" s="259">
        <f>'[1]5.Bezpečnosť, právo a por.'!$J$120</f>
        <v>0</v>
      </c>
      <c r="L62" s="260">
        <f t="shared" ref="L62:L64" si="127">SUM(M62:O62)</f>
        <v>100000</v>
      </c>
      <c r="M62" s="258">
        <f>'[1]5.Bezpečnosť, právo a por.'!$K$120</f>
        <v>100000</v>
      </c>
      <c r="N62" s="258">
        <f>'[1]5.Bezpečnosť, právo a por.'!$L$120</f>
        <v>0</v>
      </c>
      <c r="O62" s="259">
        <f>'[1]5.Bezpečnosť, právo a por.'!$M$120</f>
        <v>0</v>
      </c>
      <c r="P62" s="260">
        <f t="shared" ref="P62:P64" si="128">SUM(Q62:S62)</f>
        <v>100000</v>
      </c>
      <c r="Q62" s="258">
        <f>'[1]5.Bezpečnosť, právo a por.'!$N$120</f>
        <v>100000</v>
      </c>
      <c r="R62" s="258">
        <f>'[1]5.Bezpečnosť, právo a por.'!$O$120</f>
        <v>0</v>
      </c>
      <c r="S62" s="259">
        <f>'[1]5.Bezpečnosť, právo a por.'!$P$120</f>
        <v>0</v>
      </c>
      <c r="T62" s="260">
        <f t="shared" ref="T62:T64" si="129">SUM(U62:W62)</f>
        <v>0</v>
      </c>
      <c r="U62" s="258">
        <f>'[1]5.Bezpečnosť, právo a por.'!$Q$120</f>
        <v>0</v>
      </c>
      <c r="V62" s="258">
        <f>'[1]5.Bezpečnosť, právo a por.'!$R$120</f>
        <v>0</v>
      </c>
      <c r="W62" s="259">
        <f>'[1]5.Bezpečnosť, právo a por.'!$S$120</f>
        <v>0</v>
      </c>
      <c r="X62" s="260">
        <f t="shared" ref="X62:X64" si="130">SUM(Y62:AA62)</f>
        <v>100000</v>
      </c>
      <c r="Y62" s="258">
        <f>'[1]5.Bezpečnosť, právo a por.'!$T$120</f>
        <v>100000</v>
      </c>
      <c r="Z62" s="258">
        <f>'[1]5.Bezpečnosť, právo a por.'!$U$120</f>
        <v>0</v>
      </c>
      <c r="AA62" s="259">
        <f>'[1]5.Bezpečnosť, právo a por.'!$V$120</f>
        <v>0</v>
      </c>
    </row>
    <row r="63" spans="1:27" ht="15.75" x14ac:dyDescent="0.25">
      <c r="B63" s="273">
        <v>3</v>
      </c>
      <c r="C63" s="274" t="s">
        <v>225</v>
      </c>
      <c r="D63" s="260">
        <f t="shared" si="125"/>
        <v>94515.24</v>
      </c>
      <c r="E63" s="258">
        <f>'[1]5.Bezpečnosť, právo a por.'!$E$123</f>
        <v>94515.24</v>
      </c>
      <c r="F63" s="258">
        <f>'[1]5.Bezpečnosť, právo a por.'!$F$123</f>
        <v>0</v>
      </c>
      <c r="G63" s="259">
        <f>'[1]5.Bezpečnosť, právo a por.'!$G$123</f>
        <v>0</v>
      </c>
      <c r="H63" s="260">
        <f t="shared" si="126"/>
        <v>102076.75</v>
      </c>
      <c r="I63" s="258">
        <f>'[1]5.Bezpečnosť, právo a por.'!$H$123</f>
        <v>102076.75</v>
      </c>
      <c r="J63" s="258">
        <f>'[1]5.Bezpečnosť, právo a por.'!$I$123</f>
        <v>0</v>
      </c>
      <c r="K63" s="259">
        <f>'[1]5.Bezpečnosť, právo a por.'!$J$123</f>
        <v>0</v>
      </c>
      <c r="L63" s="260">
        <f t="shared" si="127"/>
        <v>120000</v>
      </c>
      <c r="M63" s="258">
        <f>'[1]5.Bezpečnosť, právo a por.'!$K$123</f>
        <v>120000</v>
      </c>
      <c r="N63" s="258">
        <f>'[1]5.Bezpečnosť, právo a por.'!$L$123</f>
        <v>0</v>
      </c>
      <c r="O63" s="259">
        <f>'[1]5.Bezpečnosť, právo a por.'!$M$123</f>
        <v>0</v>
      </c>
      <c r="P63" s="260">
        <f t="shared" si="128"/>
        <v>120000</v>
      </c>
      <c r="Q63" s="258">
        <f>'[1]5.Bezpečnosť, právo a por.'!$N$123</f>
        <v>120000</v>
      </c>
      <c r="R63" s="258">
        <f>'[1]5.Bezpečnosť, právo a por.'!$O$123</f>
        <v>0</v>
      </c>
      <c r="S63" s="259">
        <f>'[1]5.Bezpečnosť, právo a por.'!$P$123</f>
        <v>0</v>
      </c>
      <c r="T63" s="260">
        <f t="shared" si="129"/>
        <v>20000</v>
      </c>
      <c r="U63" s="258">
        <f>'[1]5.Bezpečnosť, právo a por.'!$Q$123</f>
        <v>20000</v>
      </c>
      <c r="V63" s="258">
        <f>'[1]5.Bezpečnosť, právo a por.'!$R$123</f>
        <v>0</v>
      </c>
      <c r="W63" s="259">
        <f>'[1]5.Bezpečnosť, právo a por.'!$S$123</f>
        <v>0</v>
      </c>
      <c r="X63" s="260">
        <f t="shared" si="130"/>
        <v>140000</v>
      </c>
      <c r="Y63" s="258">
        <f>'[1]5.Bezpečnosť, právo a por.'!$T$123</f>
        <v>140000</v>
      </c>
      <c r="Z63" s="258">
        <f>'[1]5.Bezpečnosť, právo a por.'!$U$123</f>
        <v>0</v>
      </c>
      <c r="AA63" s="259">
        <f>'[1]5.Bezpečnosť, právo a por.'!$V$123</f>
        <v>0</v>
      </c>
    </row>
    <row r="64" spans="1:27" ht="15.75" x14ac:dyDescent="0.25">
      <c r="B64" s="273">
        <v>4</v>
      </c>
      <c r="C64" s="274" t="s">
        <v>226</v>
      </c>
      <c r="D64" s="260">
        <f t="shared" si="125"/>
        <v>0</v>
      </c>
      <c r="E64" s="258">
        <f>'[1]5.Bezpečnosť, právo a por.'!$E$126</f>
        <v>0</v>
      </c>
      <c r="F64" s="258">
        <f>'[1]5.Bezpečnosť, právo a por.'!$F$126</f>
        <v>0</v>
      </c>
      <c r="G64" s="259">
        <f>'[1]5.Bezpečnosť, právo a por.'!$G$126</f>
        <v>0</v>
      </c>
      <c r="H64" s="260">
        <f t="shared" si="126"/>
        <v>0</v>
      </c>
      <c r="I64" s="258">
        <f>'[1]5.Bezpečnosť, právo a por.'!$H$126</f>
        <v>0</v>
      </c>
      <c r="J64" s="258">
        <f>'[1]5.Bezpečnosť, právo a por.'!$I$126</f>
        <v>0</v>
      </c>
      <c r="K64" s="259">
        <f>'[1]5.Bezpečnosť, právo a por.'!$J$126</f>
        <v>0</v>
      </c>
      <c r="L64" s="260">
        <f t="shared" si="127"/>
        <v>0</v>
      </c>
      <c r="M64" s="258">
        <f>'[1]5.Bezpečnosť, právo a por.'!$K$126</f>
        <v>0</v>
      </c>
      <c r="N64" s="258">
        <f>'[1]5.Bezpečnosť, právo a por.'!$L$126</f>
        <v>0</v>
      </c>
      <c r="O64" s="259">
        <f>'[1]5.Bezpečnosť, právo a por.'!$M$126</f>
        <v>0</v>
      </c>
      <c r="P64" s="260">
        <f t="shared" si="128"/>
        <v>0</v>
      </c>
      <c r="Q64" s="258">
        <f>'[1]5.Bezpečnosť, právo a por.'!$N$126</f>
        <v>0</v>
      </c>
      <c r="R64" s="258">
        <f>'[1]5.Bezpečnosť, právo a por.'!$O$126</f>
        <v>0</v>
      </c>
      <c r="S64" s="259">
        <f>'[1]5.Bezpečnosť, právo a por.'!$P$126</f>
        <v>0</v>
      </c>
      <c r="T64" s="260">
        <f t="shared" si="129"/>
        <v>0</v>
      </c>
      <c r="U64" s="258">
        <f>'[1]5.Bezpečnosť, právo a por.'!$Q$126</f>
        <v>0</v>
      </c>
      <c r="V64" s="258">
        <f>'[1]5.Bezpečnosť, právo a por.'!$R$126</f>
        <v>0</v>
      </c>
      <c r="W64" s="259">
        <f>'[1]5.Bezpečnosť, právo a por.'!$S$126</f>
        <v>0</v>
      </c>
      <c r="X64" s="260">
        <f t="shared" si="130"/>
        <v>0</v>
      </c>
      <c r="Y64" s="258">
        <f>'[1]5.Bezpečnosť, právo a por.'!$T$126</f>
        <v>0</v>
      </c>
      <c r="Z64" s="258">
        <f>'[1]5.Bezpečnosť, právo a por.'!$U$126</f>
        <v>0</v>
      </c>
      <c r="AA64" s="259">
        <f>'[1]5.Bezpečnosť, právo a por.'!$V$126</f>
        <v>0</v>
      </c>
    </row>
    <row r="65" spans="1:27" ht="15.75" x14ac:dyDescent="0.25">
      <c r="A65" s="125"/>
      <c r="B65" s="285" t="s">
        <v>227</v>
      </c>
      <c r="C65" s="286" t="s">
        <v>228</v>
      </c>
      <c r="D65" s="260">
        <f t="shared" ref="D65:G65" si="131">SUM(D66:D67)</f>
        <v>8000</v>
      </c>
      <c r="E65" s="258">
        <f t="shared" si="131"/>
        <v>8000</v>
      </c>
      <c r="F65" s="258">
        <f t="shared" si="131"/>
        <v>0</v>
      </c>
      <c r="G65" s="259">
        <f t="shared" si="131"/>
        <v>0</v>
      </c>
      <c r="H65" s="260">
        <f t="shared" ref="H65:K65" si="132">SUM(H66:H67)</f>
        <v>5772.6100000000006</v>
      </c>
      <c r="I65" s="258">
        <f t="shared" si="132"/>
        <v>5772.6100000000006</v>
      </c>
      <c r="J65" s="258">
        <f t="shared" si="132"/>
        <v>0</v>
      </c>
      <c r="K65" s="259">
        <f t="shared" si="132"/>
        <v>0</v>
      </c>
      <c r="L65" s="260">
        <f t="shared" ref="L65:O65" si="133">SUM(L66:L67)</f>
        <v>8000</v>
      </c>
      <c r="M65" s="258">
        <f t="shared" si="133"/>
        <v>8000</v>
      </c>
      <c r="N65" s="258">
        <f t="shared" si="133"/>
        <v>0</v>
      </c>
      <c r="O65" s="259">
        <f t="shared" si="133"/>
        <v>0</v>
      </c>
      <c r="P65" s="260">
        <f t="shared" ref="P65:S65" si="134">SUM(P66:P67)</f>
        <v>9187</v>
      </c>
      <c r="Q65" s="258">
        <f t="shared" si="134"/>
        <v>9187</v>
      </c>
      <c r="R65" s="258">
        <f t="shared" si="134"/>
        <v>0</v>
      </c>
      <c r="S65" s="259">
        <f t="shared" si="134"/>
        <v>0</v>
      </c>
      <c r="T65" s="260">
        <f t="shared" ref="T65:W65" si="135">SUM(T66:T67)</f>
        <v>0</v>
      </c>
      <c r="U65" s="258">
        <f t="shared" si="135"/>
        <v>0</v>
      </c>
      <c r="V65" s="258">
        <f t="shared" si="135"/>
        <v>0</v>
      </c>
      <c r="W65" s="259">
        <f t="shared" si="135"/>
        <v>0</v>
      </c>
      <c r="X65" s="260">
        <f t="shared" ref="X65:AA65" si="136">SUM(X66:X67)</f>
        <v>9187</v>
      </c>
      <c r="Y65" s="258">
        <f t="shared" si="136"/>
        <v>9187</v>
      </c>
      <c r="Z65" s="258">
        <f t="shared" si="136"/>
        <v>0</v>
      </c>
      <c r="AA65" s="259">
        <f t="shared" si="136"/>
        <v>0</v>
      </c>
    </row>
    <row r="66" spans="1:27" ht="15.75" x14ac:dyDescent="0.25">
      <c r="A66" s="125"/>
      <c r="B66" s="273">
        <v>1</v>
      </c>
      <c r="C66" s="274" t="s">
        <v>229</v>
      </c>
      <c r="D66" s="260">
        <f>SUM(E66:G66)</f>
        <v>5000</v>
      </c>
      <c r="E66" s="258">
        <f>'[1]5.Bezpečnosť, právo a por.'!$E$130</f>
        <v>5000</v>
      </c>
      <c r="F66" s="258">
        <f>'[1]5.Bezpečnosť, právo a por.'!$F$130</f>
        <v>0</v>
      </c>
      <c r="G66" s="259">
        <f>'[1]5.Bezpečnosť, právo a por.'!$G$130</f>
        <v>0</v>
      </c>
      <c r="H66" s="260">
        <f>SUM(I66:K66)</f>
        <v>2772.61</v>
      </c>
      <c r="I66" s="258">
        <f>'[1]5.Bezpečnosť, právo a por.'!$H$130</f>
        <v>2772.61</v>
      </c>
      <c r="J66" s="258">
        <f>'[1]5.Bezpečnosť, právo a por.'!$I$130</f>
        <v>0</v>
      </c>
      <c r="K66" s="259">
        <f>'[1]5.Bezpečnosť, právo a por.'!$J$130</f>
        <v>0</v>
      </c>
      <c r="L66" s="260">
        <f>SUM(M66:O66)</f>
        <v>5000</v>
      </c>
      <c r="M66" s="258">
        <f>'[1]5.Bezpečnosť, právo a por.'!$K$130</f>
        <v>5000</v>
      </c>
      <c r="N66" s="258">
        <f>'[1]5.Bezpečnosť, právo a por.'!$L$130</f>
        <v>0</v>
      </c>
      <c r="O66" s="259">
        <f>'[1]5.Bezpečnosť, právo a por.'!$M$130</f>
        <v>0</v>
      </c>
      <c r="P66" s="260">
        <f>SUM(Q66:S66)</f>
        <v>6187</v>
      </c>
      <c r="Q66" s="258">
        <f>'[1]5.Bezpečnosť, právo a por.'!$N$130</f>
        <v>6187</v>
      </c>
      <c r="R66" s="258">
        <f>'[1]5.Bezpečnosť, právo a por.'!$O$130</f>
        <v>0</v>
      </c>
      <c r="S66" s="259">
        <f>'[1]5.Bezpečnosť, právo a por.'!$P$130</f>
        <v>0</v>
      </c>
      <c r="T66" s="260">
        <f>SUM(U66:W66)</f>
        <v>0</v>
      </c>
      <c r="U66" s="258">
        <f>'[1]5.Bezpečnosť, právo a por.'!$Q$130</f>
        <v>0</v>
      </c>
      <c r="V66" s="258">
        <f>'[1]5.Bezpečnosť, právo a por.'!$R$130</f>
        <v>0</v>
      </c>
      <c r="W66" s="259">
        <f>'[1]5.Bezpečnosť, právo a por.'!$S$130</f>
        <v>0</v>
      </c>
      <c r="X66" s="260">
        <f>SUM(Y66:AA66)</f>
        <v>6187</v>
      </c>
      <c r="Y66" s="258">
        <f>'[1]5.Bezpečnosť, právo a por.'!$T$130</f>
        <v>6187</v>
      </c>
      <c r="Z66" s="258">
        <f>'[1]5.Bezpečnosť, právo a por.'!$U$130</f>
        <v>0</v>
      </c>
      <c r="AA66" s="259">
        <f>'[1]5.Bezpečnosť, právo a por.'!$V$130</f>
        <v>0</v>
      </c>
    </row>
    <row r="67" spans="1:27" ht="16.5" thickBot="1" x14ac:dyDescent="0.3">
      <c r="A67" s="125"/>
      <c r="B67" s="275">
        <v>2</v>
      </c>
      <c r="C67" s="333" t="s">
        <v>429</v>
      </c>
      <c r="D67" s="269">
        <f>SUM(E67:G67)</f>
        <v>3000</v>
      </c>
      <c r="E67" s="270">
        <f>'[1]5.Bezpečnosť, právo a por.'!$E$132</f>
        <v>3000</v>
      </c>
      <c r="F67" s="270">
        <f>'[1]5.Bezpečnosť, právo a por.'!$F$132</f>
        <v>0</v>
      </c>
      <c r="G67" s="303">
        <f>'[1]5.Bezpečnosť, právo a por.'!$G$132</f>
        <v>0</v>
      </c>
      <c r="H67" s="269">
        <f>SUM(I67:K67)</f>
        <v>3000</v>
      </c>
      <c r="I67" s="270">
        <f>'[1]5.Bezpečnosť, právo a por.'!$H$132</f>
        <v>3000</v>
      </c>
      <c r="J67" s="270">
        <f>'[1]5.Bezpečnosť, právo a por.'!$I$132</f>
        <v>0</v>
      </c>
      <c r="K67" s="303">
        <f>'[1]5.Bezpečnosť, právo a por.'!$J$132</f>
        <v>0</v>
      </c>
      <c r="L67" s="269">
        <f>SUM(M67:O67)</f>
        <v>3000</v>
      </c>
      <c r="M67" s="270">
        <f>'[1]5.Bezpečnosť, právo a por.'!$K$132</f>
        <v>3000</v>
      </c>
      <c r="N67" s="270">
        <f>'[1]5.Bezpečnosť, právo a por.'!$L$132</f>
        <v>0</v>
      </c>
      <c r="O67" s="303">
        <f>'[1]5.Bezpečnosť, právo a por.'!$M$132</f>
        <v>0</v>
      </c>
      <c r="P67" s="269">
        <f>SUM(Q67:S67)</f>
        <v>3000</v>
      </c>
      <c r="Q67" s="270">
        <f>'[1]5.Bezpečnosť, právo a por.'!$N$132</f>
        <v>3000</v>
      </c>
      <c r="R67" s="270">
        <f>'[1]5.Bezpečnosť, právo a por.'!$O$132</f>
        <v>0</v>
      </c>
      <c r="S67" s="303">
        <f>'[1]5.Bezpečnosť, právo a por.'!$P$132</f>
        <v>0</v>
      </c>
      <c r="T67" s="269">
        <f>SUM(U67:W67)</f>
        <v>0</v>
      </c>
      <c r="U67" s="270">
        <f>'[1]5.Bezpečnosť, právo a por.'!$Q$132</f>
        <v>0</v>
      </c>
      <c r="V67" s="270">
        <f>'[1]5.Bezpečnosť, právo a por.'!$R$132</f>
        <v>0</v>
      </c>
      <c r="W67" s="303">
        <f>'[1]5.Bezpečnosť, právo a por.'!$S$132</f>
        <v>0</v>
      </c>
      <c r="X67" s="269">
        <f>SUM(Y67:AA67)</f>
        <v>3000</v>
      </c>
      <c r="Y67" s="270">
        <f>'[1]5.Bezpečnosť, právo a por.'!$T$132</f>
        <v>3000</v>
      </c>
      <c r="Z67" s="270">
        <f>'[1]5.Bezpečnosť, právo a por.'!$U$132</f>
        <v>0</v>
      </c>
      <c r="AA67" s="303">
        <f>'[1]5.Bezpečnosť, právo a por.'!$V$132</f>
        <v>0</v>
      </c>
    </row>
    <row r="68" spans="1:27" s="123" customFormat="1" ht="15.75" x14ac:dyDescent="0.25">
      <c r="A68" s="125"/>
      <c r="B68" s="277" t="s">
        <v>231</v>
      </c>
      <c r="C68" s="278"/>
      <c r="D68" s="266">
        <f t="shared" ref="D68:G68" si="137">D69+D72+D75</f>
        <v>962534.77</v>
      </c>
      <c r="E68" s="267">
        <f t="shared" si="137"/>
        <v>871761.29</v>
      </c>
      <c r="F68" s="267">
        <f t="shared" si="137"/>
        <v>90773.48</v>
      </c>
      <c r="G68" s="268">
        <f t="shared" si="137"/>
        <v>0</v>
      </c>
      <c r="H68" s="266">
        <f t="shared" ref="H68:K68" si="138">H69+H72+H75</f>
        <v>1148137.26</v>
      </c>
      <c r="I68" s="267">
        <f t="shared" si="138"/>
        <v>1050010.92</v>
      </c>
      <c r="J68" s="267">
        <f t="shared" si="138"/>
        <v>98126.34</v>
      </c>
      <c r="K68" s="268">
        <f t="shared" si="138"/>
        <v>0</v>
      </c>
      <c r="L68" s="266">
        <f t="shared" ref="L68:O68" si="139">L69+L72+L75</f>
        <v>1201000</v>
      </c>
      <c r="M68" s="267">
        <f t="shared" si="139"/>
        <v>1201000</v>
      </c>
      <c r="N68" s="267">
        <f t="shared" si="139"/>
        <v>0</v>
      </c>
      <c r="O68" s="268">
        <f t="shared" si="139"/>
        <v>0</v>
      </c>
      <c r="P68" s="266">
        <f t="shared" ref="P68:S68" si="140">P69+P72+P75</f>
        <v>1197013</v>
      </c>
      <c r="Q68" s="267">
        <f t="shared" si="140"/>
        <v>1197013</v>
      </c>
      <c r="R68" s="267">
        <f t="shared" si="140"/>
        <v>0</v>
      </c>
      <c r="S68" s="268">
        <f t="shared" si="140"/>
        <v>0</v>
      </c>
      <c r="T68" s="266">
        <f t="shared" ref="T68:W68" si="141">T69+T72+T75</f>
        <v>46500</v>
      </c>
      <c r="U68" s="267">
        <f t="shared" si="141"/>
        <v>46500</v>
      </c>
      <c r="V68" s="267">
        <f t="shared" si="141"/>
        <v>0</v>
      </c>
      <c r="W68" s="268">
        <f t="shared" si="141"/>
        <v>0</v>
      </c>
      <c r="X68" s="266">
        <f t="shared" ref="X68:AA68" si="142">X69+X72+X75</f>
        <v>1243513</v>
      </c>
      <c r="Y68" s="267">
        <f t="shared" si="142"/>
        <v>1243513</v>
      </c>
      <c r="Z68" s="267">
        <f t="shared" si="142"/>
        <v>0</v>
      </c>
      <c r="AA68" s="268">
        <f t="shared" si="142"/>
        <v>0</v>
      </c>
    </row>
    <row r="69" spans="1:27" ht="15.75" x14ac:dyDescent="0.25">
      <c r="A69" s="124"/>
      <c r="B69" s="285" t="s">
        <v>232</v>
      </c>
      <c r="C69" s="286" t="s">
        <v>233</v>
      </c>
      <c r="D69" s="260">
        <f t="shared" ref="D69:G69" si="143">SUM(D70:D71)</f>
        <v>826396.02</v>
      </c>
      <c r="E69" s="258">
        <f t="shared" si="143"/>
        <v>735622.54</v>
      </c>
      <c r="F69" s="258">
        <f t="shared" si="143"/>
        <v>90773.48</v>
      </c>
      <c r="G69" s="259">
        <f t="shared" si="143"/>
        <v>0</v>
      </c>
      <c r="H69" s="260">
        <f t="shared" ref="H69:K69" si="144">SUM(H70:H71)</f>
        <v>1002886.52</v>
      </c>
      <c r="I69" s="258">
        <f t="shared" si="144"/>
        <v>904760.18</v>
      </c>
      <c r="J69" s="258">
        <f t="shared" si="144"/>
        <v>98126.34</v>
      </c>
      <c r="K69" s="259">
        <f t="shared" si="144"/>
        <v>0</v>
      </c>
      <c r="L69" s="260">
        <f t="shared" ref="L69:O69" si="145">SUM(L70:L71)</f>
        <v>1050000</v>
      </c>
      <c r="M69" s="258">
        <f t="shared" si="145"/>
        <v>1050000</v>
      </c>
      <c r="N69" s="258">
        <f t="shared" si="145"/>
        <v>0</v>
      </c>
      <c r="O69" s="259">
        <f t="shared" si="145"/>
        <v>0</v>
      </c>
      <c r="P69" s="260">
        <f t="shared" ref="P69:S69" si="146">SUM(P70:P71)</f>
        <v>1046013</v>
      </c>
      <c r="Q69" s="258">
        <f t="shared" si="146"/>
        <v>1046013</v>
      </c>
      <c r="R69" s="258">
        <f t="shared" si="146"/>
        <v>0</v>
      </c>
      <c r="S69" s="259">
        <f t="shared" si="146"/>
        <v>0</v>
      </c>
      <c r="T69" s="260">
        <f t="shared" ref="T69:W69" si="147">SUM(T70:T71)</f>
        <v>10000</v>
      </c>
      <c r="U69" s="258">
        <f t="shared" si="147"/>
        <v>10000</v>
      </c>
      <c r="V69" s="258">
        <f t="shared" si="147"/>
        <v>0</v>
      </c>
      <c r="W69" s="259">
        <f t="shared" si="147"/>
        <v>0</v>
      </c>
      <c r="X69" s="260">
        <f t="shared" ref="X69:AA69" si="148">SUM(X70:X71)</f>
        <v>1056013</v>
      </c>
      <c r="Y69" s="258">
        <f t="shared" si="148"/>
        <v>1056013</v>
      </c>
      <c r="Z69" s="258">
        <f t="shared" si="148"/>
        <v>0</v>
      </c>
      <c r="AA69" s="259">
        <f t="shared" si="148"/>
        <v>0</v>
      </c>
    </row>
    <row r="70" spans="1:27" ht="15.75" x14ac:dyDescent="0.25">
      <c r="B70" s="273">
        <v>1</v>
      </c>
      <c r="C70" s="286" t="s">
        <v>234</v>
      </c>
      <c r="D70" s="260">
        <f>SUM(E70:G70)</f>
        <v>99598.73</v>
      </c>
      <c r="E70" s="258">
        <f>'[1]6.Odpadové hospodárstvo'!$E$5</f>
        <v>8825.25</v>
      </c>
      <c r="F70" s="258">
        <f>'[1]6.Odpadové hospodárstvo'!$F$5</f>
        <v>90773.48</v>
      </c>
      <c r="G70" s="259">
        <f>'[1]6.Odpadové hospodárstvo'!$G$5</f>
        <v>0</v>
      </c>
      <c r="H70" s="260">
        <f>SUM(I70:K70)</f>
        <v>101778.73</v>
      </c>
      <c r="I70" s="258">
        <f>'[1]6.Odpadové hospodárstvo'!$H$5</f>
        <v>3652.39</v>
      </c>
      <c r="J70" s="258">
        <f>'[1]6.Odpadové hospodárstvo'!$I$5</f>
        <v>98126.34</v>
      </c>
      <c r="K70" s="259">
        <f>'[1]6.Odpadové hospodárstvo'!$J$5</f>
        <v>0</v>
      </c>
      <c r="L70" s="260">
        <f>SUM(M70:O70)</f>
        <v>3000</v>
      </c>
      <c r="M70" s="258">
        <f>'[1]6.Odpadové hospodárstvo'!$K$5</f>
        <v>3000</v>
      </c>
      <c r="N70" s="258">
        <f>'[1]6.Odpadové hospodárstvo'!$L$5</f>
        <v>0</v>
      </c>
      <c r="O70" s="259">
        <f>'[1]6.Odpadové hospodárstvo'!$M$5</f>
        <v>0</v>
      </c>
      <c r="P70" s="260">
        <f>SUM(Q70:S70)</f>
        <v>9100</v>
      </c>
      <c r="Q70" s="258">
        <f>'[1]6.Odpadové hospodárstvo'!$N$5</f>
        <v>9100</v>
      </c>
      <c r="R70" s="258">
        <f>'[1]6.Odpadové hospodárstvo'!$O$5</f>
        <v>0</v>
      </c>
      <c r="S70" s="259">
        <f>'[1]6.Odpadové hospodárstvo'!$P$5</f>
        <v>0</v>
      </c>
      <c r="T70" s="260">
        <f>SUM(U70:W70)</f>
        <v>0</v>
      </c>
      <c r="U70" s="258">
        <f>'[1]6.Odpadové hospodárstvo'!$Q$5</f>
        <v>0</v>
      </c>
      <c r="V70" s="258">
        <f>'[1]6.Odpadové hospodárstvo'!$R$5</f>
        <v>0</v>
      </c>
      <c r="W70" s="259">
        <f>'[1]6.Odpadové hospodárstvo'!$S$5</f>
        <v>0</v>
      </c>
      <c r="X70" s="260">
        <f>SUM(Y70:AA70)</f>
        <v>9100</v>
      </c>
      <c r="Y70" s="258">
        <f>'[1]6.Odpadové hospodárstvo'!$T$5</f>
        <v>9100</v>
      </c>
      <c r="Z70" s="258">
        <f>'[1]6.Odpadové hospodárstvo'!$U$5</f>
        <v>0</v>
      </c>
      <c r="AA70" s="259">
        <f>'[1]6.Odpadové hospodárstvo'!$V$5</f>
        <v>0</v>
      </c>
    </row>
    <row r="71" spans="1:27" ht="15.75" x14ac:dyDescent="0.25">
      <c r="B71" s="273">
        <v>2</v>
      </c>
      <c r="C71" s="274" t="s">
        <v>235</v>
      </c>
      <c r="D71" s="260">
        <f>SUM(E71:G71)</f>
        <v>726797.29</v>
      </c>
      <c r="E71" s="258">
        <f>'[1]6.Odpadové hospodárstvo'!$E$10</f>
        <v>726797.29</v>
      </c>
      <c r="F71" s="258">
        <f>'[1]6.Odpadové hospodárstvo'!$F$10</f>
        <v>0</v>
      </c>
      <c r="G71" s="259">
        <f>'[1]6.Odpadové hospodárstvo'!$G$10</f>
        <v>0</v>
      </c>
      <c r="H71" s="260">
        <f>SUM(I71:K71)</f>
        <v>901107.79</v>
      </c>
      <c r="I71" s="258">
        <f>'[1]6.Odpadové hospodárstvo'!$H$10</f>
        <v>901107.79</v>
      </c>
      <c r="J71" s="258">
        <f>'[1]6.Odpadové hospodárstvo'!$I$10</f>
        <v>0</v>
      </c>
      <c r="K71" s="259">
        <f>'[1]6.Odpadové hospodárstvo'!$J$10</f>
        <v>0</v>
      </c>
      <c r="L71" s="260">
        <f>SUM(M71:O71)</f>
        <v>1047000</v>
      </c>
      <c r="M71" s="258">
        <f>'[1]6.Odpadové hospodárstvo'!$K$10</f>
        <v>1047000</v>
      </c>
      <c r="N71" s="258">
        <f>'[1]6.Odpadové hospodárstvo'!$L$10</f>
        <v>0</v>
      </c>
      <c r="O71" s="259">
        <f>'[1]6.Odpadové hospodárstvo'!$M$10</f>
        <v>0</v>
      </c>
      <c r="P71" s="260">
        <f>SUM(Q71:S71)</f>
        <v>1036913</v>
      </c>
      <c r="Q71" s="258">
        <f>'[1]6.Odpadové hospodárstvo'!$N$10</f>
        <v>1036913</v>
      </c>
      <c r="R71" s="258">
        <f>'[1]6.Odpadové hospodárstvo'!$O$10</f>
        <v>0</v>
      </c>
      <c r="S71" s="259">
        <f>'[1]6.Odpadové hospodárstvo'!$P$10</f>
        <v>0</v>
      </c>
      <c r="T71" s="260">
        <f>SUM(U71:W71)</f>
        <v>10000</v>
      </c>
      <c r="U71" s="258">
        <f>'[1]6.Odpadové hospodárstvo'!$Q$10</f>
        <v>10000</v>
      </c>
      <c r="V71" s="258">
        <f>'[1]6.Odpadové hospodárstvo'!$R$10</f>
        <v>0</v>
      </c>
      <c r="W71" s="259">
        <f>'[1]6.Odpadové hospodárstvo'!$S$10</f>
        <v>0</v>
      </c>
      <c r="X71" s="260">
        <f>SUM(Y71:AA71)</f>
        <v>1046913</v>
      </c>
      <c r="Y71" s="258">
        <f>'[1]6.Odpadové hospodárstvo'!$T$10</f>
        <v>1046913</v>
      </c>
      <c r="Z71" s="258">
        <f>'[1]6.Odpadové hospodárstvo'!$U$10</f>
        <v>0</v>
      </c>
      <c r="AA71" s="259">
        <f>'[1]6.Odpadové hospodárstvo'!$V$10</f>
        <v>0</v>
      </c>
    </row>
    <row r="72" spans="1:27" ht="15.75" x14ac:dyDescent="0.25">
      <c r="B72" s="285" t="s">
        <v>236</v>
      </c>
      <c r="C72" s="274" t="s">
        <v>237</v>
      </c>
      <c r="D72" s="260">
        <f t="shared" ref="D72:G72" si="149">SUM(D73:D74)</f>
        <v>0</v>
      </c>
      <c r="E72" s="258">
        <f t="shared" si="149"/>
        <v>0</v>
      </c>
      <c r="F72" s="258">
        <f t="shared" si="149"/>
        <v>0</v>
      </c>
      <c r="G72" s="259">
        <f t="shared" si="149"/>
        <v>0</v>
      </c>
      <c r="H72" s="260">
        <f t="shared" ref="H72:K72" si="150">SUM(H73:H74)</f>
        <v>0</v>
      </c>
      <c r="I72" s="258">
        <f t="shared" si="150"/>
        <v>0</v>
      </c>
      <c r="J72" s="258">
        <f t="shared" si="150"/>
        <v>0</v>
      </c>
      <c r="K72" s="259">
        <f t="shared" si="150"/>
        <v>0</v>
      </c>
      <c r="L72" s="260">
        <f t="shared" ref="L72:O72" si="151">SUM(L73:L74)</f>
        <v>0</v>
      </c>
      <c r="M72" s="258">
        <f t="shared" si="151"/>
        <v>0</v>
      </c>
      <c r="N72" s="258">
        <f t="shared" si="151"/>
        <v>0</v>
      </c>
      <c r="O72" s="259">
        <f t="shared" si="151"/>
        <v>0</v>
      </c>
      <c r="P72" s="260">
        <f t="shared" ref="P72:S72" si="152">SUM(P73:P74)</f>
        <v>0</v>
      </c>
      <c r="Q72" s="258">
        <f t="shared" si="152"/>
        <v>0</v>
      </c>
      <c r="R72" s="258">
        <f t="shared" si="152"/>
        <v>0</v>
      </c>
      <c r="S72" s="259">
        <f t="shared" si="152"/>
        <v>0</v>
      </c>
      <c r="T72" s="260">
        <f t="shared" ref="T72:W72" si="153">SUM(T73:T74)</f>
        <v>0</v>
      </c>
      <c r="U72" s="258">
        <f t="shared" si="153"/>
        <v>0</v>
      </c>
      <c r="V72" s="258">
        <f t="shared" si="153"/>
        <v>0</v>
      </c>
      <c r="W72" s="259">
        <f t="shared" si="153"/>
        <v>0</v>
      </c>
      <c r="X72" s="260">
        <f t="shared" ref="X72:AA72" si="154">SUM(X73:X74)</f>
        <v>0</v>
      </c>
      <c r="Y72" s="258">
        <f t="shared" si="154"/>
        <v>0</v>
      </c>
      <c r="Z72" s="258">
        <f t="shared" si="154"/>
        <v>0</v>
      </c>
      <c r="AA72" s="259">
        <f t="shared" si="154"/>
        <v>0</v>
      </c>
    </row>
    <row r="73" spans="1:27" ht="15.75" x14ac:dyDescent="0.25">
      <c r="B73" s="273">
        <v>1</v>
      </c>
      <c r="C73" s="274" t="s">
        <v>238</v>
      </c>
      <c r="D73" s="260">
        <f>SUM(E73:G73)</f>
        <v>0</v>
      </c>
      <c r="E73" s="258">
        <f>'[1]6.Odpadové hospodárstvo'!$E$26</f>
        <v>0</v>
      </c>
      <c r="F73" s="258">
        <f>'[1]6.Odpadové hospodárstvo'!$F$26</f>
        <v>0</v>
      </c>
      <c r="G73" s="259">
        <f>'[1]6.Odpadové hospodárstvo'!$G$26</f>
        <v>0</v>
      </c>
      <c r="H73" s="260">
        <f>SUM(I73:K73)</f>
        <v>0</v>
      </c>
      <c r="I73" s="258">
        <f>'[1]6.Odpadové hospodárstvo'!$H$26</f>
        <v>0</v>
      </c>
      <c r="J73" s="258">
        <f>'[1]6.Odpadové hospodárstvo'!$I$26</f>
        <v>0</v>
      </c>
      <c r="K73" s="259">
        <f>'[1]6.Odpadové hospodárstvo'!$J$26</f>
        <v>0</v>
      </c>
      <c r="L73" s="260">
        <f>SUM(M73:O73)</f>
        <v>0</v>
      </c>
      <c r="M73" s="258">
        <f>'[1]6.Odpadové hospodárstvo'!$K$26</f>
        <v>0</v>
      </c>
      <c r="N73" s="258">
        <f>'[1]6.Odpadové hospodárstvo'!$L$26</f>
        <v>0</v>
      </c>
      <c r="O73" s="259">
        <f>'[1]6.Odpadové hospodárstvo'!$M$26</f>
        <v>0</v>
      </c>
      <c r="P73" s="260">
        <f>SUM(Q73:S73)</f>
        <v>0</v>
      </c>
      <c r="Q73" s="258">
        <f>'[1]6.Odpadové hospodárstvo'!$N$26</f>
        <v>0</v>
      </c>
      <c r="R73" s="258">
        <f>'[1]6.Odpadové hospodárstvo'!$O$26</f>
        <v>0</v>
      </c>
      <c r="S73" s="259">
        <f>'[1]6.Odpadové hospodárstvo'!$P$26</f>
        <v>0</v>
      </c>
      <c r="T73" s="260">
        <f>SUM(U73:W73)</f>
        <v>0</v>
      </c>
      <c r="U73" s="258">
        <f>'[1]6.Odpadové hospodárstvo'!$Q$26</f>
        <v>0</v>
      </c>
      <c r="V73" s="258">
        <f>'[1]6.Odpadové hospodárstvo'!$R$26</f>
        <v>0</v>
      </c>
      <c r="W73" s="259">
        <f>'[1]6.Odpadové hospodárstvo'!$S$26</f>
        <v>0</v>
      </c>
      <c r="X73" s="260">
        <f>SUM(Y73:AA73)</f>
        <v>0</v>
      </c>
      <c r="Y73" s="258">
        <f>'[1]6.Odpadové hospodárstvo'!$T$26</f>
        <v>0</v>
      </c>
      <c r="Z73" s="258">
        <f>'[1]6.Odpadové hospodárstvo'!$U$26</f>
        <v>0</v>
      </c>
      <c r="AA73" s="259">
        <f>'[1]6.Odpadové hospodárstvo'!$V$26</f>
        <v>0</v>
      </c>
    </row>
    <row r="74" spans="1:27" ht="15.75" x14ac:dyDescent="0.25">
      <c r="B74" s="273">
        <v>2</v>
      </c>
      <c r="C74" s="286" t="s">
        <v>239</v>
      </c>
      <c r="D74" s="260">
        <f t="shared" ref="D74:D75" si="155">SUM(E74:G74)</f>
        <v>0</v>
      </c>
      <c r="E74" s="258">
        <f>'[1]6.Odpadové hospodárstvo'!$E$29</f>
        <v>0</v>
      </c>
      <c r="F74" s="258">
        <f>'[1]6.Odpadové hospodárstvo'!$F$29</f>
        <v>0</v>
      </c>
      <c r="G74" s="259">
        <f>'[1]6.Odpadové hospodárstvo'!$G$29</f>
        <v>0</v>
      </c>
      <c r="H74" s="260">
        <f t="shared" ref="H74:H75" si="156">SUM(I74:K74)</f>
        <v>0</v>
      </c>
      <c r="I74" s="258">
        <f>'[1]6.Odpadové hospodárstvo'!$H$29</f>
        <v>0</v>
      </c>
      <c r="J74" s="258">
        <f>'[1]6.Odpadové hospodárstvo'!$I$29</f>
        <v>0</v>
      </c>
      <c r="K74" s="259">
        <f>'[1]6.Odpadové hospodárstvo'!$J$29</f>
        <v>0</v>
      </c>
      <c r="L74" s="260">
        <f t="shared" ref="L74:L75" si="157">SUM(M74:O74)</f>
        <v>0</v>
      </c>
      <c r="M74" s="258">
        <f>'[1]6.Odpadové hospodárstvo'!$K$29</f>
        <v>0</v>
      </c>
      <c r="N74" s="258">
        <f>'[1]6.Odpadové hospodárstvo'!$L$29</f>
        <v>0</v>
      </c>
      <c r="O74" s="259">
        <f>'[1]6.Odpadové hospodárstvo'!$M$29</f>
        <v>0</v>
      </c>
      <c r="P74" s="260">
        <f t="shared" ref="P74:P75" si="158">SUM(Q74:S74)</f>
        <v>0</v>
      </c>
      <c r="Q74" s="258">
        <f>'[1]6.Odpadové hospodárstvo'!$N$29</f>
        <v>0</v>
      </c>
      <c r="R74" s="258">
        <f>'[1]6.Odpadové hospodárstvo'!$O$29</f>
        <v>0</v>
      </c>
      <c r="S74" s="259">
        <f>'[1]6.Odpadové hospodárstvo'!$P$29</f>
        <v>0</v>
      </c>
      <c r="T74" s="260">
        <f t="shared" ref="T74:T75" si="159">SUM(U74:W74)</f>
        <v>0</v>
      </c>
      <c r="U74" s="258">
        <f>'[1]6.Odpadové hospodárstvo'!$Q$29</f>
        <v>0</v>
      </c>
      <c r="V74" s="258">
        <f>'[1]6.Odpadové hospodárstvo'!$R$29</f>
        <v>0</v>
      </c>
      <c r="W74" s="259">
        <f>'[1]6.Odpadové hospodárstvo'!$S$29</f>
        <v>0</v>
      </c>
      <c r="X74" s="260">
        <f t="shared" ref="X74:X75" si="160">SUM(Y74:AA74)</f>
        <v>0</v>
      </c>
      <c r="Y74" s="258">
        <f>'[1]6.Odpadové hospodárstvo'!$T$29</f>
        <v>0</v>
      </c>
      <c r="Z74" s="258">
        <f>'[1]6.Odpadové hospodárstvo'!$U$29</f>
        <v>0</v>
      </c>
      <c r="AA74" s="259">
        <f>'[1]6.Odpadové hospodárstvo'!$V$29</f>
        <v>0</v>
      </c>
    </row>
    <row r="75" spans="1:27" ht="16.5" thickBot="1" x14ac:dyDescent="0.3">
      <c r="B75" s="287" t="s">
        <v>240</v>
      </c>
      <c r="C75" s="288" t="s">
        <v>241</v>
      </c>
      <c r="D75" s="269">
        <f t="shared" si="155"/>
        <v>136138.75</v>
      </c>
      <c r="E75" s="270">
        <f>'[1]6.Odpadové hospodárstvo'!$E$31</f>
        <v>136138.75</v>
      </c>
      <c r="F75" s="270">
        <f>'[1]6.Odpadové hospodárstvo'!$F$31</f>
        <v>0</v>
      </c>
      <c r="G75" s="303">
        <f>'[1]6.Odpadové hospodárstvo'!$G$31</f>
        <v>0</v>
      </c>
      <c r="H75" s="269">
        <f t="shared" si="156"/>
        <v>145250.74</v>
      </c>
      <c r="I75" s="270">
        <f>'[1]6.Odpadové hospodárstvo'!$H$31</f>
        <v>145250.74</v>
      </c>
      <c r="J75" s="270">
        <f>'[1]6.Odpadové hospodárstvo'!$I$31</f>
        <v>0</v>
      </c>
      <c r="K75" s="303">
        <f>'[1]6.Odpadové hospodárstvo'!$J$31</f>
        <v>0</v>
      </c>
      <c r="L75" s="269">
        <f t="shared" si="157"/>
        <v>151000</v>
      </c>
      <c r="M75" s="270">
        <f>'[1]6.Odpadové hospodárstvo'!$K$31</f>
        <v>151000</v>
      </c>
      <c r="N75" s="270">
        <f>'[1]6.Odpadové hospodárstvo'!$L$31</f>
        <v>0</v>
      </c>
      <c r="O75" s="303">
        <f>'[1]6.Odpadové hospodárstvo'!$M$31</f>
        <v>0</v>
      </c>
      <c r="P75" s="269">
        <f t="shared" si="158"/>
        <v>151000</v>
      </c>
      <c r="Q75" s="270">
        <f>'[1]6.Odpadové hospodárstvo'!$N$31</f>
        <v>151000</v>
      </c>
      <c r="R75" s="270">
        <f>'[1]6.Odpadové hospodárstvo'!$O$31</f>
        <v>0</v>
      </c>
      <c r="S75" s="303">
        <f>'[1]6.Odpadové hospodárstvo'!$P$31</f>
        <v>0</v>
      </c>
      <c r="T75" s="269">
        <f t="shared" si="159"/>
        <v>36500</v>
      </c>
      <c r="U75" s="270">
        <f>'[1]6.Odpadové hospodárstvo'!$Q$31</f>
        <v>36500</v>
      </c>
      <c r="V75" s="270">
        <f>'[1]6.Odpadové hospodárstvo'!$R$31</f>
        <v>0</v>
      </c>
      <c r="W75" s="303">
        <f>'[1]6.Odpadové hospodárstvo'!$S$31</f>
        <v>0</v>
      </c>
      <c r="X75" s="269">
        <f t="shared" si="160"/>
        <v>187500</v>
      </c>
      <c r="Y75" s="270">
        <f>'[1]6.Odpadové hospodárstvo'!$T$31</f>
        <v>187500</v>
      </c>
      <c r="Z75" s="270">
        <f>'[1]6.Odpadové hospodárstvo'!$U$31</f>
        <v>0</v>
      </c>
      <c r="AA75" s="303">
        <f>'[1]6.Odpadové hospodárstvo'!$V$31</f>
        <v>0</v>
      </c>
    </row>
    <row r="76" spans="1:27" s="123" customFormat="1" ht="15.75" x14ac:dyDescent="0.25">
      <c r="B76" s="277" t="s">
        <v>242</v>
      </c>
      <c r="C76" s="278"/>
      <c r="D76" s="266">
        <f t="shared" ref="D76:G76" si="161">D77+D85+D88</f>
        <v>621018.54000000015</v>
      </c>
      <c r="E76" s="267">
        <f t="shared" si="161"/>
        <v>481025.38</v>
      </c>
      <c r="F76" s="267">
        <f t="shared" si="161"/>
        <v>139993.16</v>
      </c>
      <c r="G76" s="268">
        <f t="shared" si="161"/>
        <v>0</v>
      </c>
      <c r="H76" s="266">
        <f t="shared" ref="H76:K76" si="162">H77+H85+H88</f>
        <v>750755.75999999989</v>
      </c>
      <c r="I76" s="267">
        <f t="shared" si="162"/>
        <v>493171.72000000003</v>
      </c>
      <c r="J76" s="267">
        <f t="shared" si="162"/>
        <v>257584.03999999998</v>
      </c>
      <c r="K76" s="268">
        <f t="shared" si="162"/>
        <v>0</v>
      </c>
      <c r="L76" s="266">
        <f t="shared" ref="L76:O76" si="163">L77+L85+L88</f>
        <v>6441950</v>
      </c>
      <c r="M76" s="267">
        <f t="shared" si="163"/>
        <v>406550</v>
      </c>
      <c r="N76" s="267">
        <f t="shared" si="163"/>
        <v>6035400</v>
      </c>
      <c r="O76" s="268">
        <f t="shared" si="163"/>
        <v>0</v>
      </c>
      <c r="P76" s="266">
        <f t="shared" ref="P76:S76" si="164">P77+P85+P88</f>
        <v>6441950</v>
      </c>
      <c r="Q76" s="267">
        <f t="shared" si="164"/>
        <v>406550</v>
      </c>
      <c r="R76" s="267">
        <f t="shared" si="164"/>
        <v>6035400</v>
      </c>
      <c r="S76" s="268">
        <f t="shared" si="164"/>
        <v>0</v>
      </c>
      <c r="T76" s="266">
        <f t="shared" ref="T76:W76" si="165">T77+T85+T88</f>
        <v>176500</v>
      </c>
      <c r="U76" s="267">
        <f t="shared" si="165"/>
        <v>60000</v>
      </c>
      <c r="V76" s="267">
        <f t="shared" si="165"/>
        <v>116500</v>
      </c>
      <c r="W76" s="268">
        <f t="shared" si="165"/>
        <v>0</v>
      </c>
      <c r="X76" s="266">
        <f t="shared" ref="X76:AA76" si="166">X77+X85+X88</f>
        <v>6618450</v>
      </c>
      <c r="Y76" s="267">
        <f t="shared" si="166"/>
        <v>466550</v>
      </c>
      <c r="Z76" s="267">
        <f t="shared" si="166"/>
        <v>6151900</v>
      </c>
      <c r="AA76" s="268">
        <f t="shared" si="166"/>
        <v>0</v>
      </c>
    </row>
    <row r="77" spans="1:27" ht="15.75" x14ac:dyDescent="0.25">
      <c r="B77" s="285" t="s">
        <v>243</v>
      </c>
      <c r="C77" s="274" t="s">
        <v>244</v>
      </c>
      <c r="D77" s="260">
        <f t="shared" ref="D77:G77" si="167">SUM(D78:D84)</f>
        <v>591470.57000000018</v>
      </c>
      <c r="E77" s="258">
        <f t="shared" si="167"/>
        <v>451477.41</v>
      </c>
      <c r="F77" s="258">
        <f t="shared" si="167"/>
        <v>139993.16</v>
      </c>
      <c r="G77" s="259">
        <f t="shared" si="167"/>
        <v>0</v>
      </c>
      <c r="H77" s="260">
        <f t="shared" ref="H77:K77" si="168">SUM(H78:H84)</f>
        <v>741273.29999999993</v>
      </c>
      <c r="I77" s="258">
        <f t="shared" si="168"/>
        <v>483689.26</v>
      </c>
      <c r="J77" s="258">
        <f t="shared" si="168"/>
        <v>257584.03999999998</v>
      </c>
      <c r="K77" s="259">
        <f t="shared" si="168"/>
        <v>0</v>
      </c>
      <c r="L77" s="260">
        <f t="shared" ref="L77:O77" si="169">SUM(L78:L84)</f>
        <v>629400</v>
      </c>
      <c r="M77" s="258">
        <f t="shared" si="169"/>
        <v>385600</v>
      </c>
      <c r="N77" s="258">
        <f t="shared" si="169"/>
        <v>243800</v>
      </c>
      <c r="O77" s="259">
        <f t="shared" si="169"/>
        <v>0</v>
      </c>
      <c r="P77" s="260">
        <f t="shared" ref="P77:S77" si="170">SUM(P78:P84)</f>
        <v>629400</v>
      </c>
      <c r="Q77" s="258">
        <f t="shared" si="170"/>
        <v>385600</v>
      </c>
      <c r="R77" s="258">
        <f t="shared" si="170"/>
        <v>243800</v>
      </c>
      <c r="S77" s="259">
        <f t="shared" si="170"/>
        <v>0</v>
      </c>
      <c r="T77" s="260">
        <f t="shared" ref="T77:W77" si="171">SUM(T78:T84)</f>
        <v>60000</v>
      </c>
      <c r="U77" s="258">
        <f t="shared" si="171"/>
        <v>60000</v>
      </c>
      <c r="V77" s="258">
        <f t="shared" si="171"/>
        <v>0</v>
      </c>
      <c r="W77" s="259">
        <f t="shared" si="171"/>
        <v>0</v>
      </c>
      <c r="X77" s="260">
        <f t="shared" ref="X77:AA77" si="172">SUM(X78:X84)</f>
        <v>689400</v>
      </c>
      <c r="Y77" s="258">
        <f t="shared" si="172"/>
        <v>445600</v>
      </c>
      <c r="Z77" s="258">
        <f t="shared" si="172"/>
        <v>243800</v>
      </c>
      <c r="AA77" s="259">
        <f t="shared" si="172"/>
        <v>0</v>
      </c>
    </row>
    <row r="78" spans="1:27" ht="15.75" x14ac:dyDescent="0.25">
      <c r="B78" s="273">
        <v>1</v>
      </c>
      <c r="C78" s="274" t="s">
        <v>245</v>
      </c>
      <c r="D78" s="260">
        <f>SUM(E78:G78)</f>
        <v>0</v>
      </c>
      <c r="E78" s="258">
        <f>'[1]7.Komunikácie'!$E$5</f>
        <v>0</v>
      </c>
      <c r="F78" s="258">
        <f>'[1]7.Komunikácie'!$F$5</f>
        <v>0</v>
      </c>
      <c r="G78" s="259">
        <f>'[1]7.Komunikácie'!$G$5</f>
        <v>0</v>
      </c>
      <c r="H78" s="260">
        <f>SUM(I78:K78)</f>
        <v>0</v>
      </c>
      <c r="I78" s="258">
        <f>'[1]7.Komunikácie'!$H$5</f>
        <v>0</v>
      </c>
      <c r="J78" s="258">
        <f>'[1]7.Komunikácie'!$I$5</f>
        <v>0</v>
      </c>
      <c r="K78" s="259">
        <f>'[1]7.Komunikácie'!$J$5</f>
        <v>0</v>
      </c>
      <c r="L78" s="260">
        <f>SUM(M78:O78)</f>
        <v>0</v>
      </c>
      <c r="M78" s="258">
        <f>'[1]7.Komunikácie'!$K$5</f>
        <v>0</v>
      </c>
      <c r="N78" s="258">
        <f>'[1]7.Komunikácie'!$L$5</f>
        <v>0</v>
      </c>
      <c r="O78" s="259">
        <f>'[1]7.Komunikácie'!$M$5</f>
        <v>0</v>
      </c>
      <c r="P78" s="260">
        <f>SUM(Q78:S78)</f>
        <v>0</v>
      </c>
      <c r="Q78" s="258">
        <f>'[1]7.Komunikácie'!$N$5</f>
        <v>0</v>
      </c>
      <c r="R78" s="258">
        <f>'[1]7.Komunikácie'!$O$5</f>
        <v>0</v>
      </c>
      <c r="S78" s="259">
        <f>'[1]7.Komunikácie'!$P$5</f>
        <v>0</v>
      </c>
      <c r="T78" s="260">
        <f>SUM(U78:W78)</f>
        <v>0</v>
      </c>
      <c r="U78" s="258">
        <f>'[1]7.Komunikácie'!$Q$5</f>
        <v>0</v>
      </c>
      <c r="V78" s="258">
        <f>'[1]7.Komunikácie'!$R$5</f>
        <v>0</v>
      </c>
      <c r="W78" s="259">
        <f>'[1]7.Komunikácie'!$S$5</f>
        <v>0</v>
      </c>
      <c r="X78" s="260">
        <f>SUM(Y78:AA78)</f>
        <v>0</v>
      </c>
      <c r="Y78" s="258">
        <f>'[1]7.Komunikácie'!$T$5</f>
        <v>0</v>
      </c>
      <c r="Z78" s="258">
        <f>'[1]7.Komunikácie'!$U$5</f>
        <v>0</v>
      </c>
      <c r="AA78" s="259">
        <f>'[1]7.Komunikácie'!$V$5</f>
        <v>0</v>
      </c>
    </row>
    <row r="79" spans="1:27" ht="15.75" x14ac:dyDescent="0.25">
      <c r="B79" s="273">
        <v>2</v>
      </c>
      <c r="C79" s="274" t="s">
        <v>246</v>
      </c>
      <c r="D79" s="260">
        <f t="shared" ref="D79:D84" si="173">SUM(E79:G79)</f>
        <v>139993.16</v>
      </c>
      <c r="E79" s="258">
        <f>'[1]7.Komunikácie'!$E$7</f>
        <v>0</v>
      </c>
      <c r="F79" s="258">
        <f>'[1]7.Komunikácie'!$F$7</f>
        <v>139993.16</v>
      </c>
      <c r="G79" s="259">
        <f>'[1]7.Komunikácie'!$G$7</f>
        <v>0</v>
      </c>
      <c r="H79" s="260">
        <f t="shared" ref="H79:H84" si="174">SUM(I79:K79)</f>
        <v>239576.87</v>
      </c>
      <c r="I79" s="258">
        <f>'[1]7.Komunikácie'!$H$7</f>
        <v>0</v>
      </c>
      <c r="J79" s="258">
        <f>'[1]7.Komunikácie'!$I$7</f>
        <v>239576.87</v>
      </c>
      <c r="K79" s="259">
        <f>'[1]7.Komunikácie'!$J$7</f>
        <v>0</v>
      </c>
      <c r="L79" s="260">
        <f t="shared" ref="L79:L84" si="175">SUM(M79:O79)</f>
        <v>227000</v>
      </c>
      <c r="M79" s="258">
        <f>'[1]7.Komunikácie'!$K$7</f>
        <v>0</v>
      </c>
      <c r="N79" s="258">
        <f>'[1]7.Komunikácie'!$L$7</f>
        <v>227000</v>
      </c>
      <c r="O79" s="259">
        <f>'[1]7.Komunikácie'!$M$7</f>
        <v>0</v>
      </c>
      <c r="P79" s="260">
        <f t="shared" ref="P79:P84" si="176">SUM(Q79:S79)</f>
        <v>227000</v>
      </c>
      <c r="Q79" s="258">
        <f>'[1]7.Komunikácie'!$N$7</f>
        <v>0</v>
      </c>
      <c r="R79" s="258">
        <f>'[1]7.Komunikácie'!$O$7</f>
        <v>227000</v>
      </c>
      <c r="S79" s="259">
        <f>'[1]7.Komunikácie'!$P$7</f>
        <v>0</v>
      </c>
      <c r="T79" s="260">
        <f t="shared" ref="T79:T84" si="177">SUM(U79:W79)</f>
        <v>0</v>
      </c>
      <c r="U79" s="258">
        <f>'[1]7.Komunikácie'!$Q$7</f>
        <v>0</v>
      </c>
      <c r="V79" s="258">
        <f>'[1]7.Komunikácie'!$R$7</f>
        <v>0</v>
      </c>
      <c r="W79" s="259">
        <f>'[1]7.Komunikácie'!$S$7</f>
        <v>0</v>
      </c>
      <c r="X79" s="260">
        <f t="shared" ref="X79:X84" si="178">SUM(Y79:AA79)</f>
        <v>227000</v>
      </c>
      <c r="Y79" s="258">
        <f>'[1]7.Komunikácie'!$T$7</f>
        <v>0</v>
      </c>
      <c r="Z79" s="258">
        <f>'[1]7.Komunikácie'!$U$7</f>
        <v>227000</v>
      </c>
      <c r="AA79" s="259">
        <f>'[1]7.Komunikácie'!$V$7</f>
        <v>0</v>
      </c>
    </row>
    <row r="80" spans="1:27" ht="15.75" x14ac:dyDescent="0.25">
      <c r="B80" s="273">
        <v>3</v>
      </c>
      <c r="C80" s="274" t="s">
        <v>247</v>
      </c>
      <c r="D80" s="260">
        <f t="shared" si="173"/>
        <v>69700.92</v>
      </c>
      <c r="E80" s="258">
        <f>'[1]7.Komunikácie'!$E$15</f>
        <v>69700.92</v>
      </c>
      <c r="F80" s="258">
        <f>'[1]7.Komunikácie'!$F$15</f>
        <v>0</v>
      </c>
      <c r="G80" s="259">
        <f>'[1]7.Komunikácie'!$G$15</f>
        <v>0</v>
      </c>
      <c r="H80" s="260">
        <f t="shared" si="174"/>
        <v>81820.800000000003</v>
      </c>
      <c r="I80" s="258">
        <f>'[1]7.Komunikácie'!$H$15</f>
        <v>81820.800000000003</v>
      </c>
      <c r="J80" s="258">
        <f>'[1]7.Komunikácie'!$I$15</f>
        <v>0</v>
      </c>
      <c r="K80" s="259">
        <f>'[1]7.Komunikácie'!$J$15</f>
        <v>0</v>
      </c>
      <c r="L80" s="260">
        <f t="shared" si="175"/>
        <v>90000</v>
      </c>
      <c r="M80" s="258">
        <f>'[1]7.Komunikácie'!$K$15</f>
        <v>90000</v>
      </c>
      <c r="N80" s="258">
        <f>'[1]7.Komunikácie'!$L$15</f>
        <v>0</v>
      </c>
      <c r="O80" s="259">
        <f>'[1]7.Komunikácie'!$M$15</f>
        <v>0</v>
      </c>
      <c r="P80" s="260">
        <f t="shared" si="176"/>
        <v>90000</v>
      </c>
      <c r="Q80" s="258">
        <f>'[1]7.Komunikácie'!$N$15</f>
        <v>90000</v>
      </c>
      <c r="R80" s="258">
        <f>'[1]7.Komunikácie'!$O$15</f>
        <v>0</v>
      </c>
      <c r="S80" s="259">
        <f>'[1]7.Komunikácie'!$P$15</f>
        <v>0</v>
      </c>
      <c r="T80" s="260">
        <f t="shared" si="177"/>
        <v>0</v>
      </c>
      <c r="U80" s="258">
        <f>'[1]7.Komunikácie'!$Q$15</f>
        <v>0</v>
      </c>
      <c r="V80" s="258">
        <f>'[1]7.Komunikácie'!$R$15</f>
        <v>0</v>
      </c>
      <c r="W80" s="259">
        <f>'[1]7.Komunikácie'!$S$15</f>
        <v>0</v>
      </c>
      <c r="X80" s="260">
        <f t="shared" si="178"/>
        <v>90000</v>
      </c>
      <c r="Y80" s="258">
        <f>'[1]7.Komunikácie'!$T$15</f>
        <v>90000</v>
      </c>
      <c r="Z80" s="258">
        <f>'[1]7.Komunikácie'!$U$15</f>
        <v>0</v>
      </c>
      <c r="AA80" s="259">
        <f>'[1]7.Komunikácie'!$V$15</f>
        <v>0</v>
      </c>
    </row>
    <row r="81" spans="2:27" ht="15.75" x14ac:dyDescent="0.25">
      <c r="B81" s="273">
        <v>4</v>
      </c>
      <c r="C81" s="274" t="s">
        <v>248</v>
      </c>
      <c r="D81" s="260">
        <f t="shared" si="173"/>
        <v>267230.02</v>
      </c>
      <c r="E81" s="258">
        <f>'[1]7.Komunikácie'!$E$17</f>
        <v>267230.02</v>
      </c>
      <c r="F81" s="258">
        <f>'[1]7.Komunikácie'!$F$17</f>
        <v>0</v>
      </c>
      <c r="G81" s="259">
        <f>'[1]7.Komunikácie'!$G$17</f>
        <v>0</v>
      </c>
      <c r="H81" s="260">
        <f t="shared" si="174"/>
        <v>278420.57</v>
      </c>
      <c r="I81" s="258">
        <f>'[1]7.Komunikácie'!$H$17</f>
        <v>278420.57</v>
      </c>
      <c r="J81" s="258">
        <f>'[1]7.Komunikácie'!$I$17</f>
        <v>0</v>
      </c>
      <c r="K81" s="259">
        <f>'[1]7.Komunikácie'!$J$17</f>
        <v>0</v>
      </c>
      <c r="L81" s="260">
        <f t="shared" si="175"/>
        <v>180000</v>
      </c>
      <c r="M81" s="258">
        <f>'[1]7.Komunikácie'!$K$17</f>
        <v>180000</v>
      </c>
      <c r="N81" s="258">
        <f>'[1]7.Komunikácie'!$L$17</f>
        <v>0</v>
      </c>
      <c r="O81" s="259">
        <f>'[1]7.Komunikácie'!$M$17</f>
        <v>0</v>
      </c>
      <c r="P81" s="260">
        <f t="shared" si="176"/>
        <v>180000</v>
      </c>
      <c r="Q81" s="258">
        <f>'[1]7.Komunikácie'!$N$17</f>
        <v>180000</v>
      </c>
      <c r="R81" s="258">
        <f>'[1]7.Komunikácie'!$O$17</f>
        <v>0</v>
      </c>
      <c r="S81" s="259">
        <f>'[1]7.Komunikácie'!$P$17</f>
        <v>0</v>
      </c>
      <c r="T81" s="260">
        <f t="shared" si="177"/>
        <v>60000</v>
      </c>
      <c r="U81" s="258">
        <f>'[1]7.Komunikácie'!$Q$17</f>
        <v>60000</v>
      </c>
      <c r="V81" s="258">
        <f>'[1]7.Komunikácie'!$R$17</f>
        <v>0</v>
      </c>
      <c r="W81" s="259">
        <f>'[1]7.Komunikácie'!$S$17</f>
        <v>0</v>
      </c>
      <c r="X81" s="260">
        <f t="shared" si="178"/>
        <v>240000</v>
      </c>
      <c r="Y81" s="258">
        <f>'[1]7.Komunikácie'!$T$17</f>
        <v>240000</v>
      </c>
      <c r="Z81" s="258">
        <f>'[1]7.Komunikácie'!$U$17</f>
        <v>0</v>
      </c>
      <c r="AA81" s="259">
        <f>'[1]7.Komunikácie'!$V$17</f>
        <v>0</v>
      </c>
    </row>
    <row r="82" spans="2:27" ht="15.75" x14ac:dyDescent="0.25">
      <c r="B82" s="273">
        <v>5</v>
      </c>
      <c r="C82" s="274" t="s">
        <v>249</v>
      </c>
      <c r="D82" s="260">
        <f t="shared" si="173"/>
        <v>79756.25</v>
      </c>
      <c r="E82" s="258">
        <f>'[1]7.Komunikácie'!$E$19</f>
        <v>79756.25</v>
      </c>
      <c r="F82" s="258">
        <f>'[1]7.Komunikácie'!$F$19</f>
        <v>0</v>
      </c>
      <c r="G82" s="259">
        <f>'[1]7.Komunikácie'!$G$19</f>
        <v>0</v>
      </c>
      <c r="H82" s="260">
        <f t="shared" si="174"/>
        <v>84723.44</v>
      </c>
      <c r="I82" s="258">
        <f>'[1]7.Komunikácie'!$H$19</f>
        <v>84723.44</v>
      </c>
      <c r="J82" s="258">
        <f>'[1]7.Komunikácie'!$I$19</f>
        <v>0</v>
      </c>
      <c r="K82" s="259">
        <f>'[1]7.Komunikácie'!$J$19</f>
        <v>0</v>
      </c>
      <c r="L82" s="260">
        <f t="shared" si="175"/>
        <v>85600</v>
      </c>
      <c r="M82" s="258">
        <f>'[1]7.Komunikácie'!$K$19</f>
        <v>85600</v>
      </c>
      <c r="N82" s="258">
        <f>'[1]7.Komunikácie'!$L$19</f>
        <v>0</v>
      </c>
      <c r="O82" s="259">
        <f>'[1]7.Komunikácie'!$M$19</f>
        <v>0</v>
      </c>
      <c r="P82" s="260">
        <f t="shared" si="176"/>
        <v>85600</v>
      </c>
      <c r="Q82" s="258">
        <f>'[1]7.Komunikácie'!$N$19</f>
        <v>85600</v>
      </c>
      <c r="R82" s="258">
        <f>'[1]7.Komunikácie'!$O$19</f>
        <v>0</v>
      </c>
      <c r="S82" s="259">
        <f>'[1]7.Komunikácie'!$P$19</f>
        <v>0</v>
      </c>
      <c r="T82" s="260">
        <f t="shared" si="177"/>
        <v>0</v>
      </c>
      <c r="U82" s="258">
        <f>'[1]7.Komunikácie'!$Q$19</f>
        <v>0</v>
      </c>
      <c r="V82" s="258">
        <f>'[1]7.Komunikácie'!$R$19</f>
        <v>0</v>
      </c>
      <c r="W82" s="259">
        <f>'[1]7.Komunikácie'!$S$19</f>
        <v>0</v>
      </c>
      <c r="X82" s="260">
        <f t="shared" si="178"/>
        <v>85600</v>
      </c>
      <c r="Y82" s="258">
        <f>'[1]7.Komunikácie'!$T$19</f>
        <v>85600</v>
      </c>
      <c r="Z82" s="258">
        <f>'[1]7.Komunikácie'!$U$19</f>
        <v>0</v>
      </c>
      <c r="AA82" s="259">
        <f>'[1]7.Komunikácie'!$V$19</f>
        <v>0</v>
      </c>
    </row>
    <row r="83" spans="2:27" ht="15.75" x14ac:dyDescent="0.25">
      <c r="B83" s="273">
        <v>5</v>
      </c>
      <c r="C83" s="274" t="s">
        <v>250</v>
      </c>
      <c r="D83" s="260">
        <f t="shared" si="173"/>
        <v>26394.06</v>
      </c>
      <c r="E83" s="258">
        <f>'[1]7.Komunikácie'!$E$26</f>
        <v>26394.06</v>
      </c>
      <c r="F83" s="258">
        <f>'[1]7.Komunikácie'!$F$26</f>
        <v>0</v>
      </c>
      <c r="G83" s="259">
        <f>'[1]7.Komunikácie'!$G$26</f>
        <v>0</v>
      </c>
      <c r="H83" s="260">
        <f t="shared" si="174"/>
        <v>27223.5</v>
      </c>
      <c r="I83" s="258">
        <f>'[1]7.Komunikácie'!$H$26</f>
        <v>27223.5</v>
      </c>
      <c r="J83" s="258">
        <f>'[1]7.Komunikácie'!$I$26</f>
        <v>0</v>
      </c>
      <c r="K83" s="259">
        <f>'[1]7.Komunikácie'!$J$26</f>
        <v>0</v>
      </c>
      <c r="L83" s="260">
        <f t="shared" si="175"/>
        <v>20000</v>
      </c>
      <c r="M83" s="258">
        <f>'[1]7.Komunikácie'!$K$26</f>
        <v>20000</v>
      </c>
      <c r="N83" s="258">
        <f>'[1]7.Komunikácie'!$L$26</f>
        <v>0</v>
      </c>
      <c r="O83" s="259">
        <f>'[1]7.Komunikácie'!$M$26</f>
        <v>0</v>
      </c>
      <c r="P83" s="260">
        <f t="shared" si="176"/>
        <v>20000</v>
      </c>
      <c r="Q83" s="258">
        <f>'[1]7.Komunikácie'!$N$26</f>
        <v>20000</v>
      </c>
      <c r="R83" s="258">
        <f>'[1]7.Komunikácie'!$O$26</f>
        <v>0</v>
      </c>
      <c r="S83" s="259">
        <f>'[1]7.Komunikácie'!$P$26</f>
        <v>0</v>
      </c>
      <c r="T83" s="260">
        <f t="shared" si="177"/>
        <v>0</v>
      </c>
      <c r="U83" s="258">
        <f>'[1]7.Komunikácie'!$Q$26</f>
        <v>0</v>
      </c>
      <c r="V83" s="258">
        <f>'[1]7.Komunikácie'!$R$26</f>
        <v>0</v>
      </c>
      <c r="W83" s="259">
        <f>'[1]7.Komunikácie'!$S$26</f>
        <v>0</v>
      </c>
      <c r="X83" s="260">
        <f t="shared" si="178"/>
        <v>20000</v>
      </c>
      <c r="Y83" s="258">
        <f>'[1]7.Komunikácie'!$T$26</f>
        <v>20000</v>
      </c>
      <c r="Z83" s="258">
        <f>'[1]7.Komunikácie'!$U$26</f>
        <v>0</v>
      </c>
      <c r="AA83" s="259">
        <f>'[1]7.Komunikácie'!$V$26</f>
        <v>0</v>
      </c>
    </row>
    <row r="84" spans="2:27" ht="15.75" x14ac:dyDescent="0.25">
      <c r="B84" s="273">
        <v>6</v>
      </c>
      <c r="C84" s="274" t="s">
        <v>251</v>
      </c>
      <c r="D84" s="260">
        <f t="shared" si="173"/>
        <v>8396.16</v>
      </c>
      <c r="E84" s="258">
        <f>'[1]7.Komunikácie'!$E$28</f>
        <v>8396.16</v>
      </c>
      <c r="F84" s="258">
        <f>'[1]7.Komunikácie'!$F$28</f>
        <v>0</v>
      </c>
      <c r="G84" s="259">
        <f>'[1]7.Komunikácie'!$G$28</f>
        <v>0</v>
      </c>
      <c r="H84" s="260">
        <f t="shared" si="174"/>
        <v>29508.12</v>
      </c>
      <c r="I84" s="258">
        <f>'[1]7.Komunikácie'!$H$28</f>
        <v>11500.95</v>
      </c>
      <c r="J84" s="258">
        <f>'[1]7.Komunikácie'!$I$28</f>
        <v>18007.169999999998</v>
      </c>
      <c r="K84" s="259">
        <f>'[1]7.Komunikácie'!$J$28</f>
        <v>0</v>
      </c>
      <c r="L84" s="260">
        <f t="shared" si="175"/>
        <v>26800</v>
      </c>
      <c r="M84" s="258">
        <f>'[1]7.Komunikácie'!$K$28</f>
        <v>10000</v>
      </c>
      <c r="N84" s="258">
        <f>'[1]7.Komunikácie'!$L$28</f>
        <v>16800</v>
      </c>
      <c r="O84" s="259">
        <f>'[1]7.Komunikácie'!$M$28</f>
        <v>0</v>
      </c>
      <c r="P84" s="260">
        <f t="shared" si="176"/>
        <v>26800</v>
      </c>
      <c r="Q84" s="258">
        <f>'[1]7.Komunikácie'!$N$28</f>
        <v>10000</v>
      </c>
      <c r="R84" s="258">
        <f>'[1]7.Komunikácie'!$O$28</f>
        <v>16800</v>
      </c>
      <c r="S84" s="259">
        <f>'[1]7.Komunikácie'!$P$28</f>
        <v>0</v>
      </c>
      <c r="T84" s="260">
        <f t="shared" si="177"/>
        <v>0</v>
      </c>
      <c r="U84" s="258">
        <f>'[1]7.Komunikácie'!$Q$28</f>
        <v>0</v>
      </c>
      <c r="V84" s="258">
        <f>'[1]7.Komunikácie'!$R$28</f>
        <v>0</v>
      </c>
      <c r="W84" s="259">
        <f>'[1]7.Komunikácie'!$S$28</f>
        <v>0</v>
      </c>
      <c r="X84" s="260">
        <f t="shared" si="178"/>
        <v>26800</v>
      </c>
      <c r="Y84" s="258">
        <f>'[1]7.Komunikácie'!$T$28</f>
        <v>10000</v>
      </c>
      <c r="Z84" s="258">
        <f>'[1]7.Komunikácie'!$U$28</f>
        <v>16800</v>
      </c>
      <c r="AA84" s="259">
        <f>'[1]7.Komunikácie'!$V$28</f>
        <v>0</v>
      </c>
    </row>
    <row r="85" spans="2:27" ht="15.75" x14ac:dyDescent="0.25">
      <c r="B85" s="285" t="s">
        <v>252</v>
      </c>
      <c r="C85" s="274" t="s">
        <v>253</v>
      </c>
      <c r="D85" s="260">
        <f t="shared" ref="D85:G85" si="179">SUM(D86:D87)</f>
        <v>29547.97</v>
      </c>
      <c r="E85" s="258">
        <f t="shared" si="179"/>
        <v>29547.97</v>
      </c>
      <c r="F85" s="258">
        <f t="shared" si="179"/>
        <v>0</v>
      </c>
      <c r="G85" s="259">
        <f t="shared" si="179"/>
        <v>0</v>
      </c>
      <c r="H85" s="260">
        <f t="shared" ref="H85:K85" si="180">SUM(H86:H87)</f>
        <v>9482.4599999999991</v>
      </c>
      <c r="I85" s="258">
        <f t="shared" si="180"/>
        <v>9482.4599999999991</v>
      </c>
      <c r="J85" s="258">
        <f t="shared" si="180"/>
        <v>0</v>
      </c>
      <c r="K85" s="259">
        <f t="shared" si="180"/>
        <v>0</v>
      </c>
      <c r="L85" s="260">
        <f t="shared" ref="L85:O85" si="181">SUM(L86:L87)</f>
        <v>20000</v>
      </c>
      <c r="M85" s="258">
        <f t="shared" si="181"/>
        <v>20000</v>
      </c>
      <c r="N85" s="258">
        <f t="shared" si="181"/>
        <v>0</v>
      </c>
      <c r="O85" s="259">
        <f t="shared" si="181"/>
        <v>0</v>
      </c>
      <c r="P85" s="260">
        <f t="shared" ref="P85:S85" si="182">SUM(P86:P87)</f>
        <v>20000</v>
      </c>
      <c r="Q85" s="258">
        <f t="shared" si="182"/>
        <v>20000</v>
      </c>
      <c r="R85" s="258">
        <f t="shared" si="182"/>
        <v>0</v>
      </c>
      <c r="S85" s="259">
        <f t="shared" si="182"/>
        <v>0</v>
      </c>
      <c r="T85" s="260">
        <f t="shared" ref="T85:W85" si="183">SUM(T86:T87)</f>
        <v>0</v>
      </c>
      <c r="U85" s="258">
        <f t="shared" si="183"/>
        <v>0</v>
      </c>
      <c r="V85" s="258">
        <f t="shared" si="183"/>
        <v>0</v>
      </c>
      <c r="W85" s="259">
        <f t="shared" si="183"/>
        <v>0</v>
      </c>
      <c r="X85" s="260">
        <f t="shared" ref="X85:AA85" si="184">SUM(X86:X87)</f>
        <v>20000</v>
      </c>
      <c r="Y85" s="258">
        <f t="shared" si="184"/>
        <v>20000</v>
      </c>
      <c r="Z85" s="258">
        <f t="shared" si="184"/>
        <v>0</v>
      </c>
      <c r="AA85" s="259">
        <f t="shared" si="184"/>
        <v>0</v>
      </c>
    </row>
    <row r="86" spans="2:27" ht="15.75" x14ac:dyDescent="0.25">
      <c r="B86" s="273">
        <v>1</v>
      </c>
      <c r="C86" s="274" t="s">
        <v>254</v>
      </c>
      <c r="D86" s="260">
        <f>SUM(E86:G86)</f>
        <v>0</v>
      </c>
      <c r="E86" s="258">
        <f>'[1]7.Komunikácie'!$E$31</f>
        <v>0</v>
      </c>
      <c r="F86" s="258">
        <f>'[1]7.Komunikácie'!$F$31</f>
        <v>0</v>
      </c>
      <c r="G86" s="259">
        <f>'[1]7.Komunikácie'!$G$31</f>
        <v>0</v>
      </c>
      <c r="H86" s="260">
        <f>SUM(I86:K86)</f>
        <v>0</v>
      </c>
      <c r="I86" s="258">
        <f>'[1]7.Komunikácie'!$H$31</f>
        <v>0</v>
      </c>
      <c r="J86" s="258">
        <f>'[1]7.Komunikácie'!$I$31</f>
        <v>0</v>
      </c>
      <c r="K86" s="259">
        <f>'[1]7.Komunikácie'!$J$31</f>
        <v>0</v>
      </c>
      <c r="L86" s="260">
        <f>SUM(M86:O86)</f>
        <v>0</v>
      </c>
      <c r="M86" s="258">
        <f>'[1]7.Komunikácie'!$K$31</f>
        <v>0</v>
      </c>
      <c r="N86" s="258">
        <f>'[1]7.Komunikácie'!$L$31</f>
        <v>0</v>
      </c>
      <c r="O86" s="259">
        <f>'[1]7.Komunikácie'!$M$31</f>
        <v>0</v>
      </c>
      <c r="P86" s="260">
        <f>SUM(Q86:S86)</f>
        <v>0</v>
      </c>
      <c r="Q86" s="258">
        <f>'[1]7.Komunikácie'!$N$31</f>
        <v>0</v>
      </c>
      <c r="R86" s="258">
        <f>'[1]7.Komunikácie'!$O$31</f>
        <v>0</v>
      </c>
      <c r="S86" s="259">
        <f>'[1]7.Komunikácie'!$P$31</f>
        <v>0</v>
      </c>
      <c r="T86" s="260">
        <f>SUM(U86:W86)</f>
        <v>0</v>
      </c>
      <c r="U86" s="258">
        <f>'[1]7.Komunikácie'!$Q$31</f>
        <v>0</v>
      </c>
      <c r="V86" s="258">
        <f>'[1]7.Komunikácie'!$R$31</f>
        <v>0</v>
      </c>
      <c r="W86" s="259">
        <f>'[1]7.Komunikácie'!$S$31</f>
        <v>0</v>
      </c>
      <c r="X86" s="260">
        <f>SUM(Y86:AA86)</f>
        <v>0</v>
      </c>
      <c r="Y86" s="258">
        <f>'[1]7.Komunikácie'!$T$31</f>
        <v>0</v>
      </c>
      <c r="Z86" s="258">
        <f>'[1]7.Komunikácie'!$U$31</f>
        <v>0</v>
      </c>
      <c r="AA86" s="259">
        <f>'[1]7.Komunikácie'!$V$31</f>
        <v>0</v>
      </c>
    </row>
    <row r="87" spans="2:27" ht="15.75" x14ac:dyDescent="0.25">
      <c r="B87" s="273">
        <v>2</v>
      </c>
      <c r="C87" s="274" t="s">
        <v>255</v>
      </c>
      <c r="D87" s="260">
        <f>SUM(E87:G87)</f>
        <v>29547.97</v>
      </c>
      <c r="E87" s="258">
        <f>'[1]7.Komunikácie'!$E$33</f>
        <v>29547.97</v>
      </c>
      <c r="F87" s="258">
        <f>'[1]7.Komunikácie'!$F$33</f>
        <v>0</v>
      </c>
      <c r="G87" s="259">
        <f>'[1]7.Komunikácie'!$G$33</f>
        <v>0</v>
      </c>
      <c r="H87" s="260">
        <f>SUM(I87:K87)</f>
        <v>9482.4599999999991</v>
      </c>
      <c r="I87" s="258">
        <f>'[1]7.Komunikácie'!$H$33</f>
        <v>9482.4599999999991</v>
      </c>
      <c r="J87" s="258">
        <f>'[1]7.Komunikácie'!$I$33</f>
        <v>0</v>
      </c>
      <c r="K87" s="259">
        <f>'[1]7.Komunikácie'!$J$33</f>
        <v>0</v>
      </c>
      <c r="L87" s="260">
        <f>SUM(M87:O87)</f>
        <v>20000</v>
      </c>
      <c r="M87" s="258">
        <f>'[1]7.Komunikácie'!$K$33</f>
        <v>20000</v>
      </c>
      <c r="N87" s="258">
        <f>'[1]7.Komunikácie'!$L$33</f>
        <v>0</v>
      </c>
      <c r="O87" s="259">
        <f>'[1]7.Komunikácie'!$M$33</f>
        <v>0</v>
      </c>
      <c r="P87" s="260">
        <f>SUM(Q87:S87)</f>
        <v>20000</v>
      </c>
      <c r="Q87" s="258">
        <f>'[1]7.Komunikácie'!$N$33</f>
        <v>20000</v>
      </c>
      <c r="R87" s="258">
        <f>'[1]7.Komunikácie'!$O$33</f>
        <v>0</v>
      </c>
      <c r="S87" s="259">
        <f>'[1]7.Komunikácie'!$P$33</f>
        <v>0</v>
      </c>
      <c r="T87" s="260">
        <f>SUM(U87:W87)</f>
        <v>0</v>
      </c>
      <c r="U87" s="258">
        <f>'[1]7.Komunikácie'!$Q$33</f>
        <v>0</v>
      </c>
      <c r="V87" s="258">
        <f>'[1]7.Komunikácie'!$R$33</f>
        <v>0</v>
      </c>
      <c r="W87" s="259">
        <f>'[1]7.Komunikácie'!$S$33</f>
        <v>0</v>
      </c>
      <c r="X87" s="260">
        <f>SUM(Y87:AA87)</f>
        <v>20000</v>
      </c>
      <c r="Y87" s="258">
        <f>'[1]7.Komunikácie'!$T$33</f>
        <v>20000</v>
      </c>
      <c r="Z87" s="258">
        <f>'[1]7.Komunikácie'!$U$33</f>
        <v>0</v>
      </c>
      <c r="AA87" s="259">
        <f>'[1]7.Komunikácie'!$V$33</f>
        <v>0</v>
      </c>
    </row>
    <row r="88" spans="2:27" ht="15.75" outlineLevel="1" x14ac:dyDescent="0.25">
      <c r="B88" s="285" t="s">
        <v>256</v>
      </c>
      <c r="C88" s="274" t="s">
        <v>257</v>
      </c>
      <c r="D88" s="260">
        <f t="shared" ref="D88:G88" si="185">SUM(D89:D90)</f>
        <v>0</v>
      </c>
      <c r="E88" s="258">
        <f t="shared" si="185"/>
        <v>0</v>
      </c>
      <c r="F88" s="258">
        <f t="shared" si="185"/>
        <v>0</v>
      </c>
      <c r="G88" s="259">
        <f t="shared" si="185"/>
        <v>0</v>
      </c>
      <c r="H88" s="260">
        <f t="shared" ref="H88:K88" si="186">SUM(H89:H90)</f>
        <v>0</v>
      </c>
      <c r="I88" s="258">
        <f t="shared" si="186"/>
        <v>0</v>
      </c>
      <c r="J88" s="258">
        <f t="shared" si="186"/>
        <v>0</v>
      </c>
      <c r="K88" s="259">
        <f t="shared" si="186"/>
        <v>0</v>
      </c>
      <c r="L88" s="260">
        <f t="shared" ref="L88:O88" si="187">SUM(L89:L90)</f>
        <v>5792550</v>
      </c>
      <c r="M88" s="258">
        <f t="shared" si="187"/>
        <v>950</v>
      </c>
      <c r="N88" s="258">
        <f t="shared" si="187"/>
        <v>5791600</v>
      </c>
      <c r="O88" s="259">
        <f t="shared" si="187"/>
        <v>0</v>
      </c>
      <c r="P88" s="260">
        <f t="shared" ref="P88:S88" si="188">SUM(P89:P90)</f>
        <v>5792550</v>
      </c>
      <c r="Q88" s="258">
        <f t="shared" si="188"/>
        <v>950</v>
      </c>
      <c r="R88" s="258">
        <f t="shared" si="188"/>
        <v>5791600</v>
      </c>
      <c r="S88" s="259">
        <f t="shared" si="188"/>
        <v>0</v>
      </c>
      <c r="T88" s="260">
        <f t="shared" ref="T88:W88" si="189">SUM(T89:T90)</f>
        <v>116500</v>
      </c>
      <c r="U88" s="258">
        <f t="shared" si="189"/>
        <v>0</v>
      </c>
      <c r="V88" s="258">
        <f t="shared" si="189"/>
        <v>116500</v>
      </c>
      <c r="W88" s="259">
        <f t="shared" si="189"/>
        <v>0</v>
      </c>
      <c r="X88" s="260">
        <f t="shared" ref="X88:AA88" si="190">SUM(X89:X90)</f>
        <v>5909050</v>
      </c>
      <c r="Y88" s="258">
        <f t="shared" si="190"/>
        <v>950</v>
      </c>
      <c r="Z88" s="258">
        <f t="shared" si="190"/>
        <v>5908100</v>
      </c>
      <c r="AA88" s="259">
        <f t="shared" si="190"/>
        <v>0</v>
      </c>
    </row>
    <row r="89" spans="2:27" ht="15.75" outlineLevel="1" x14ac:dyDescent="0.25">
      <c r="B89" s="273">
        <v>1</v>
      </c>
      <c r="C89" s="274" t="s">
        <v>258</v>
      </c>
      <c r="D89" s="260">
        <f>SUM(E89:G89)</f>
        <v>0</v>
      </c>
      <c r="E89" s="258">
        <f>'[1]7.Komunikácie'!$E$36</f>
        <v>0</v>
      </c>
      <c r="F89" s="258">
        <f>'[1]7.Komunikácie'!$F$36</f>
        <v>0</v>
      </c>
      <c r="G89" s="259">
        <f>'[1]7.Komunikácie'!$G$36</f>
        <v>0</v>
      </c>
      <c r="H89" s="260">
        <f>SUM(I89:K89)</f>
        <v>0</v>
      </c>
      <c r="I89" s="258">
        <f>'[1]7.Komunikácie'!$H$36</f>
        <v>0</v>
      </c>
      <c r="J89" s="258">
        <f>'[1]7.Komunikácie'!$I$36</f>
        <v>0</v>
      </c>
      <c r="K89" s="259">
        <f>'[1]7.Komunikácie'!$J$36</f>
        <v>0</v>
      </c>
      <c r="L89" s="260">
        <f>SUM(M89:O89)</f>
        <v>5792550</v>
      </c>
      <c r="M89" s="258">
        <f>'[1]7.Komunikácie'!$K$36</f>
        <v>950</v>
      </c>
      <c r="N89" s="258">
        <f>'[1]7.Komunikácie'!$L$36</f>
        <v>5791600</v>
      </c>
      <c r="O89" s="259">
        <f>'[1]7.Komunikácie'!$M$36</f>
        <v>0</v>
      </c>
      <c r="P89" s="260">
        <f>SUM(Q89:S89)</f>
        <v>5792550</v>
      </c>
      <c r="Q89" s="258">
        <f>'[1]7.Komunikácie'!$N$36</f>
        <v>950</v>
      </c>
      <c r="R89" s="258">
        <f>'[1]7.Komunikácie'!$O$36</f>
        <v>5791600</v>
      </c>
      <c r="S89" s="259">
        <f>'[1]7.Komunikácie'!$P$36</f>
        <v>0</v>
      </c>
      <c r="T89" s="260">
        <f>SUM(U89:W89)</f>
        <v>116500</v>
      </c>
      <c r="U89" s="258">
        <f>'[1]7.Komunikácie'!$Q$36</f>
        <v>0</v>
      </c>
      <c r="V89" s="258">
        <f>'[1]7.Komunikácie'!$R$36</f>
        <v>116500</v>
      </c>
      <c r="W89" s="259">
        <f>'[1]7.Komunikácie'!$S$36</f>
        <v>0</v>
      </c>
      <c r="X89" s="260">
        <f>SUM(Y89:AA89)</f>
        <v>5909050</v>
      </c>
      <c r="Y89" s="258">
        <f>'[1]7.Komunikácie'!$T$36</f>
        <v>950</v>
      </c>
      <c r="Z89" s="258">
        <f>'[1]7.Komunikácie'!$U$36</f>
        <v>5908100</v>
      </c>
      <c r="AA89" s="259">
        <f>'[1]7.Komunikácie'!$V$36</f>
        <v>0</v>
      </c>
    </row>
    <row r="90" spans="2:27" ht="16.5" outlineLevel="1" thickBot="1" x14ac:dyDescent="0.3">
      <c r="B90" s="275">
        <v>2</v>
      </c>
      <c r="C90" s="276" t="s">
        <v>259</v>
      </c>
      <c r="D90" s="269">
        <f>SUM(E90:G90)</f>
        <v>0</v>
      </c>
      <c r="E90" s="270">
        <f>'[1]7.Komunikácie'!$E$39</f>
        <v>0</v>
      </c>
      <c r="F90" s="270">
        <f>'[1]7.Komunikácie'!$F$39</f>
        <v>0</v>
      </c>
      <c r="G90" s="303">
        <f>'[1]7.Komunikácie'!$G$39</f>
        <v>0</v>
      </c>
      <c r="H90" s="269">
        <f>SUM(I90:K90)</f>
        <v>0</v>
      </c>
      <c r="I90" s="270">
        <f>'[1]7.Komunikácie'!$H$39</f>
        <v>0</v>
      </c>
      <c r="J90" s="270">
        <f>'[1]7.Komunikácie'!$I$39</f>
        <v>0</v>
      </c>
      <c r="K90" s="303">
        <f>'[1]7.Komunikácie'!$J$39</f>
        <v>0</v>
      </c>
      <c r="L90" s="269">
        <f>SUM(M90:O90)</f>
        <v>0</v>
      </c>
      <c r="M90" s="270">
        <f>'[1]7.Komunikácie'!$K$39</f>
        <v>0</v>
      </c>
      <c r="N90" s="270">
        <f>'[1]7.Komunikácie'!$L$39</f>
        <v>0</v>
      </c>
      <c r="O90" s="303">
        <f>'[1]7.Komunikácie'!$M$39</f>
        <v>0</v>
      </c>
      <c r="P90" s="269">
        <f>SUM(Q90:S90)</f>
        <v>0</v>
      </c>
      <c r="Q90" s="270">
        <f>'[1]7.Komunikácie'!$N$39</f>
        <v>0</v>
      </c>
      <c r="R90" s="270">
        <f>'[1]7.Komunikácie'!$O$39</f>
        <v>0</v>
      </c>
      <c r="S90" s="303">
        <f>'[1]7.Komunikácie'!$P$39</f>
        <v>0</v>
      </c>
      <c r="T90" s="269">
        <f>SUM(U90:W90)</f>
        <v>0</v>
      </c>
      <c r="U90" s="270">
        <f>'[1]7.Komunikácie'!$Q$39</f>
        <v>0</v>
      </c>
      <c r="V90" s="270">
        <f>'[1]7.Komunikácie'!$R$39</f>
        <v>0</v>
      </c>
      <c r="W90" s="303">
        <f>'[1]7.Komunikácie'!$S$39</f>
        <v>0</v>
      </c>
      <c r="X90" s="269">
        <f>SUM(Y90:AA90)</f>
        <v>0</v>
      </c>
      <c r="Y90" s="270">
        <f>'[1]7.Komunikácie'!$T$39</f>
        <v>0</v>
      </c>
      <c r="Z90" s="270">
        <f>'[1]7.Komunikácie'!$U$39</f>
        <v>0</v>
      </c>
      <c r="AA90" s="303">
        <f>'[1]7.Komunikácie'!$V$39</f>
        <v>0</v>
      </c>
    </row>
    <row r="91" spans="2:27" s="123" customFormat="1" ht="15.75" x14ac:dyDescent="0.25">
      <c r="B91" s="277" t="s">
        <v>260</v>
      </c>
      <c r="C91" s="278"/>
      <c r="D91" s="266">
        <f t="shared" ref="D91:G91" si="191">D92+D93</f>
        <v>150295.24</v>
      </c>
      <c r="E91" s="267">
        <f t="shared" si="191"/>
        <v>150295.24</v>
      </c>
      <c r="F91" s="267">
        <f t="shared" si="191"/>
        <v>0</v>
      </c>
      <c r="G91" s="268">
        <f t="shared" si="191"/>
        <v>0</v>
      </c>
      <c r="H91" s="266">
        <f t="shared" ref="H91:K91" si="192">H92+H93</f>
        <v>154915.03</v>
      </c>
      <c r="I91" s="267">
        <f t="shared" si="192"/>
        <v>154915.03</v>
      </c>
      <c r="J91" s="267">
        <f t="shared" si="192"/>
        <v>0</v>
      </c>
      <c r="K91" s="268">
        <f t="shared" si="192"/>
        <v>0</v>
      </c>
      <c r="L91" s="266">
        <f t="shared" ref="L91:O91" si="193">L92+L93</f>
        <v>172000</v>
      </c>
      <c r="M91" s="267">
        <f t="shared" si="193"/>
        <v>172000</v>
      </c>
      <c r="N91" s="267">
        <f t="shared" si="193"/>
        <v>0</v>
      </c>
      <c r="O91" s="268">
        <f t="shared" si="193"/>
        <v>0</v>
      </c>
      <c r="P91" s="266">
        <f t="shared" ref="P91:S91" si="194">P92+P93</f>
        <v>172000</v>
      </c>
      <c r="Q91" s="267">
        <f t="shared" si="194"/>
        <v>172000</v>
      </c>
      <c r="R91" s="267">
        <f t="shared" si="194"/>
        <v>0</v>
      </c>
      <c r="S91" s="268">
        <f t="shared" si="194"/>
        <v>0</v>
      </c>
      <c r="T91" s="266">
        <f t="shared" ref="T91:W91" si="195">T92+T93</f>
        <v>31000</v>
      </c>
      <c r="U91" s="267">
        <f t="shared" si="195"/>
        <v>31000</v>
      </c>
      <c r="V91" s="267">
        <f t="shared" si="195"/>
        <v>0</v>
      </c>
      <c r="W91" s="268">
        <f t="shared" si="195"/>
        <v>0</v>
      </c>
      <c r="X91" s="266">
        <f t="shared" ref="X91:AA91" si="196">X92+X93</f>
        <v>203000</v>
      </c>
      <c r="Y91" s="267">
        <f t="shared" si="196"/>
        <v>203000</v>
      </c>
      <c r="Z91" s="267">
        <f t="shared" si="196"/>
        <v>0</v>
      </c>
      <c r="AA91" s="268">
        <f t="shared" si="196"/>
        <v>0</v>
      </c>
    </row>
    <row r="92" spans="2:27" ht="15.75" x14ac:dyDescent="0.25">
      <c r="B92" s="285" t="s">
        <v>261</v>
      </c>
      <c r="C92" s="274" t="s">
        <v>262</v>
      </c>
      <c r="D92" s="260">
        <f>SUM(E92:G92)</f>
        <v>150295.24</v>
      </c>
      <c r="E92" s="258">
        <f>'[1]8.Doprava'!$E$4</f>
        <v>150295.24</v>
      </c>
      <c r="F92" s="258">
        <f>'[1]8.Doprava'!$F$4</f>
        <v>0</v>
      </c>
      <c r="G92" s="259">
        <f>'[1]8.Doprava'!$G$4</f>
        <v>0</v>
      </c>
      <c r="H92" s="260">
        <f>SUM(I92:K92)</f>
        <v>154445.03</v>
      </c>
      <c r="I92" s="258">
        <f>'[1]8.Doprava'!$H$4</f>
        <v>154445.03</v>
      </c>
      <c r="J92" s="258">
        <f>'[1]8.Doprava'!$I$4</f>
        <v>0</v>
      </c>
      <c r="K92" s="259">
        <f>'[1]8.Doprava'!$J$4</f>
        <v>0</v>
      </c>
      <c r="L92" s="260">
        <f>SUM(M92:O92)</f>
        <v>170000</v>
      </c>
      <c r="M92" s="258">
        <f>'[1]8.Doprava'!$K$4</f>
        <v>170000</v>
      </c>
      <c r="N92" s="258">
        <f>'[1]8.Doprava'!$L$4</f>
        <v>0</v>
      </c>
      <c r="O92" s="259">
        <f>'[1]8.Doprava'!$M$4</f>
        <v>0</v>
      </c>
      <c r="P92" s="260">
        <f>SUM(Q92:S92)</f>
        <v>170000</v>
      </c>
      <c r="Q92" s="258">
        <f>'[1]8.Doprava'!$N$4</f>
        <v>170000</v>
      </c>
      <c r="R92" s="258">
        <f>'[1]8.Doprava'!$O$4</f>
        <v>0</v>
      </c>
      <c r="S92" s="259">
        <f>'[1]8.Doprava'!$P$4</f>
        <v>0</v>
      </c>
      <c r="T92" s="260">
        <f>SUM(U92:W92)</f>
        <v>31000</v>
      </c>
      <c r="U92" s="258">
        <f>'[1]8.Doprava'!$Q$4</f>
        <v>31000</v>
      </c>
      <c r="V92" s="258">
        <f>'[1]8.Doprava'!$R$4</f>
        <v>0</v>
      </c>
      <c r="W92" s="259">
        <f>'[1]8.Doprava'!$S$4</f>
        <v>0</v>
      </c>
      <c r="X92" s="260">
        <f>SUM(Y92:AA92)</f>
        <v>201000</v>
      </c>
      <c r="Y92" s="258">
        <f>'[1]8.Doprava'!$T$4</f>
        <v>201000</v>
      </c>
      <c r="Z92" s="258">
        <f>'[1]8.Doprava'!$U$4</f>
        <v>0</v>
      </c>
      <c r="AA92" s="259">
        <f>'[1]8.Doprava'!$V$4</f>
        <v>0</v>
      </c>
    </row>
    <row r="93" spans="2:27" ht="15.75" x14ac:dyDescent="0.25">
      <c r="B93" s="285" t="s">
        <v>263</v>
      </c>
      <c r="C93" s="274" t="s">
        <v>264</v>
      </c>
      <c r="D93" s="260">
        <f t="shared" ref="D93:AA93" si="197">SUM(D94)</f>
        <v>0</v>
      </c>
      <c r="E93" s="258">
        <f t="shared" si="197"/>
        <v>0</v>
      </c>
      <c r="F93" s="258">
        <f t="shared" si="197"/>
        <v>0</v>
      </c>
      <c r="G93" s="259">
        <f t="shared" si="197"/>
        <v>0</v>
      </c>
      <c r="H93" s="260">
        <f t="shared" si="197"/>
        <v>470</v>
      </c>
      <c r="I93" s="258">
        <f t="shared" si="197"/>
        <v>470</v>
      </c>
      <c r="J93" s="258">
        <f t="shared" si="197"/>
        <v>0</v>
      </c>
      <c r="K93" s="259">
        <f t="shared" si="197"/>
        <v>0</v>
      </c>
      <c r="L93" s="260">
        <f t="shared" si="197"/>
        <v>2000</v>
      </c>
      <c r="M93" s="258">
        <f t="shared" si="197"/>
        <v>2000</v>
      </c>
      <c r="N93" s="258">
        <f t="shared" si="197"/>
        <v>0</v>
      </c>
      <c r="O93" s="259">
        <f t="shared" si="197"/>
        <v>0</v>
      </c>
      <c r="P93" s="260">
        <f t="shared" si="197"/>
        <v>2000</v>
      </c>
      <c r="Q93" s="258">
        <f t="shared" si="197"/>
        <v>2000</v>
      </c>
      <c r="R93" s="258">
        <f t="shared" si="197"/>
        <v>0</v>
      </c>
      <c r="S93" s="259">
        <f t="shared" si="197"/>
        <v>0</v>
      </c>
      <c r="T93" s="260">
        <f t="shared" si="197"/>
        <v>0</v>
      </c>
      <c r="U93" s="258">
        <f t="shared" si="197"/>
        <v>0</v>
      </c>
      <c r="V93" s="258">
        <f t="shared" si="197"/>
        <v>0</v>
      </c>
      <c r="W93" s="259">
        <f t="shared" si="197"/>
        <v>0</v>
      </c>
      <c r="X93" s="260">
        <f t="shared" si="197"/>
        <v>2000</v>
      </c>
      <c r="Y93" s="258">
        <f t="shared" si="197"/>
        <v>2000</v>
      </c>
      <c r="Z93" s="258">
        <f t="shared" si="197"/>
        <v>0</v>
      </c>
      <c r="AA93" s="259">
        <f t="shared" si="197"/>
        <v>0</v>
      </c>
    </row>
    <row r="94" spans="2:27" ht="16.5" thickBot="1" x14ac:dyDescent="0.3">
      <c r="B94" s="275">
        <v>1</v>
      </c>
      <c r="C94" s="276" t="s">
        <v>265</v>
      </c>
      <c r="D94" s="269">
        <f>SUM(E94:G94)</f>
        <v>0</v>
      </c>
      <c r="E94" s="270">
        <f>'[1]8.Doprava'!$E$7</f>
        <v>0</v>
      </c>
      <c r="F94" s="270">
        <f>'[1]8.Doprava'!$F$7</f>
        <v>0</v>
      </c>
      <c r="G94" s="303">
        <f>'[1]8.Doprava'!$G$7</f>
        <v>0</v>
      </c>
      <c r="H94" s="269">
        <f>SUM(I94:K94)</f>
        <v>470</v>
      </c>
      <c r="I94" s="270">
        <f>'[1]8.Doprava'!$H$7</f>
        <v>470</v>
      </c>
      <c r="J94" s="270">
        <f>'[1]8.Doprava'!$I$7</f>
        <v>0</v>
      </c>
      <c r="K94" s="303">
        <f>'[1]8.Doprava'!$J$7</f>
        <v>0</v>
      </c>
      <c r="L94" s="269">
        <f>SUM(M94:O94)</f>
        <v>2000</v>
      </c>
      <c r="M94" s="270">
        <f>'[1]8.Doprava'!$K$7</f>
        <v>2000</v>
      </c>
      <c r="N94" s="270">
        <f>'[1]8.Doprava'!$L$7</f>
        <v>0</v>
      </c>
      <c r="O94" s="303">
        <f>'[1]8.Doprava'!$M$7</f>
        <v>0</v>
      </c>
      <c r="P94" s="269">
        <f>SUM(Q94:S94)</f>
        <v>2000</v>
      </c>
      <c r="Q94" s="270">
        <f>'[1]8.Doprava'!$N$7</f>
        <v>2000</v>
      </c>
      <c r="R94" s="270">
        <f>'[1]8.Doprava'!$O$7</f>
        <v>0</v>
      </c>
      <c r="S94" s="303">
        <f>'[1]8.Doprava'!$P$7</f>
        <v>0</v>
      </c>
      <c r="T94" s="269">
        <f>SUM(U94:W94)</f>
        <v>0</v>
      </c>
      <c r="U94" s="270">
        <f>'[1]8.Doprava'!$Q$7</f>
        <v>0</v>
      </c>
      <c r="V94" s="270">
        <f>'[1]8.Doprava'!$R$7</f>
        <v>0</v>
      </c>
      <c r="W94" s="303">
        <f>'[1]8.Doprava'!$S$7</f>
        <v>0</v>
      </c>
      <c r="X94" s="269">
        <f>SUM(Y94:AA94)</f>
        <v>2000</v>
      </c>
      <c r="Y94" s="270">
        <f>'[1]8.Doprava'!$T$7</f>
        <v>2000</v>
      </c>
      <c r="Z94" s="270">
        <f>'[1]8.Doprava'!$U$7</f>
        <v>0</v>
      </c>
      <c r="AA94" s="303">
        <f>'[1]8.Doprava'!$V$7</f>
        <v>0</v>
      </c>
    </row>
    <row r="95" spans="2:27" s="123" customFormat="1" ht="15.75" x14ac:dyDescent="0.25">
      <c r="B95" s="277" t="s">
        <v>266</v>
      </c>
      <c r="C95" s="278"/>
      <c r="D95" s="266">
        <f t="shared" ref="D95:G95" si="198">D96+D97+D106+D113+D116+D117+D118+D119</f>
        <v>10022937.869999999</v>
      </c>
      <c r="E95" s="267">
        <f t="shared" si="198"/>
        <v>9836651.0700000003</v>
      </c>
      <c r="F95" s="267">
        <f t="shared" si="198"/>
        <v>186286.80000000002</v>
      </c>
      <c r="G95" s="268">
        <f t="shared" si="198"/>
        <v>0</v>
      </c>
      <c r="H95" s="266">
        <f t="shared" ref="H95:K95" si="199">H96+H97+H106+H113+H116+H117+H118+H119</f>
        <v>11526256.340000002</v>
      </c>
      <c r="I95" s="267">
        <f t="shared" si="199"/>
        <v>11173608.680000002</v>
      </c>
      <c r="J95" s="267">
        <f t="shared" si="199"/>
        <v>352647.66000000003</v>
      </c>
      <c r="K95" s="268">
        <f t="shared" si="199"/>
        <v>0</v>
      </c>
      <c r="L95" s="266">
        <f t="shared" ref="L95:O95" si="200">L96+L97+L106+L113+L116+L117+L118+L119</f>
        <v>12627000</v>
      </c>
      <c r="M95" s="267">
        <f t="shared" si="200"/>
        <v>12607000</v>
      </c>
      <c r="N95" s="267">
        <f t="shared" si="200"/>
        <v>20000</v>
      </c>
      <c r="O95" s="268">
        <f t="shared" si="200"/>
        <v>0</v>
      </c>
      <c r="P95" s="266">
        <f t="shared" ref="P95:S95" si="201">P96+P97+P106+P113+P116+P117+P118+P119</f>
        <v>12627000</v>
      </c>
      <c r="Q95" s="267">
        <f t="shared" si="201"/>
        <v>12592547</v>
      </c>
      <c r="R95" s="267">
        <f t="shared" si="201"/>
        <v>34453</v>
      </c>
      <c r="S95" s="268">
        <f t="shared" si="201"/>
        <v>0</v>
      </c>
      <c r="T95" s="266">
        <f t="shared" ref="T95:W95" si="202">T96+T97+T106+T113+T116+T117+T118+T119</f>
        <v>712167</v>
      </c>
      <c r="U95" s="267">
        <f t="shared" si="202"/>
        <v>705167</v>
      </c>
      <c r="V95" s="267">
        <f t="shared" si="202"/>
        <v>7000</v>
      </c>
      <c r="W95" s="268">
        <f t="shared" si="202"/>
        <v>0</v>
      </c>
      <c r="X95" s="266">
        <f t="shared" ref="X95:AA95" si="203">X96+X97+X106+X113+X116+X117+X118+X119</f>
        <v>13339167</v>
      </c>
      <c r="Y95" s="267">
        <f t="shared" si="203"/>
        <v>13297714</v>
      </c>
      <c r="Z95" s="267">
        <f t="shared" si="203"/>
        <v>41453</v>
      </c>
      <c r="AA95" s="268">
        <f t="shared" si="203"/>
        <v>0</v>
      </c>
    </row>
    <row r="96" spans="2:27" ht="15.75" x14ac:dyDescent="0.25">
      <c r="B96" s="285" t="s">
        <v>267</v>
      </c>
      <c r="C96" s="274" t="s">
        <v>268</v>
      </c>
      <c r="D96" s="260">
        <f>SUM(E96:G96)</f>
        <v>3597.5100000000007</v>
      </c>
      <c r="E96" s="258">
        <f>'[1]9. Vzdelávanie'!$E$4</f>
        <v>3597.5100000000007</v>
      </c>
      <c r="F96" s="258">
        <f>'[1]9. Vzdelávanie'!$F$4</f>
        <v>0</v>
      </c>
      <c r="G96" s="259">
        <f>'[1]9. Vzdelávanie'!$G$4</f>
        <v>0</v>
      </c>
      <c r="H96" s="260">
        <f>SUM(I96:K96)</f>
        <v>4748.91</v>
      </c>
      <c r="I96" s="258">
        <f>'[1]9. Vzdelávanie'!$H$4</f>
        <v>4748.91</v>
      </c>
      <c r="J96" s="258">
        <f>'[1]9. Vzdelávanie'!$I$4</f>
        <v>0</v>
      </c>
      <c r="K96" s="259">
        <f>'[1]9. Vzdelávanie'!$J$4</f>
        <v>0</v>
      </c>
      <c r="L96" s="260">
        <f>SUM(M96:O96)</f>
        <v>5000</v>
      </c>
      <c r="M96" s="258">
        <f>'[1]9. Vzdelávanie'!$K$4</f>
        <v>5000</v>
      </c>
      <c r="N96" s="258">
        <f>'[1]9. Vzdelávanie'!$L$4</f>
        <v>0</v>
      </c>
      <c r="O96" s="259">
        <f>'[1]9. Vzdelávanie'!$M$4</f>
        <v>0</v>
      </c>
      <c r="P96" s="260">
        <f>SUM(Q96:S96)</f>
        <v>5000</v>
      </c>
      <c r="Q96" s="258">
        <f>'[1]9. Vzdelávanie'!$N$4</f>
        <v>5000</v>
      </c>
      <c r="R96" s="258">
        <f>'[1]9. Vzdelávanie'!$O$4</f>
        <v>0</v>
      </c>
      <c r="S96" s="259">
        <f>'[1]9. Vzdelávanie'!$P$4</f>
        <v>0</v>
      </c>
      <c r="T96" s="260">
        <f>SUM(U96:W96)</f>
        <v>0</v>
      </c>
      <c r="U96" s="258">
        <f>'[1]9. Vzdelávanie'!$Q$4</f>
        <v>0</v>
      </c>
      <c r="V96" s="258">
        <f>'[1]9. Vzdelávanie'!$R$4</f>
        <v>0</v>
      </c>
      <c r="W96" s="259">
        <f>'[1]9. Vzdelávanie'!$S$4</f>
        <v>0</v>
      </c>
      <c r="X96" s="260">
        <f>SUM(Y96:AA96)</f>
        <v>5000</v>
      </c>
      <c r="Y96" s="258">
        <f>'[1]9. Vzdelávanie'!$T$4</f>
        <v>5000</v>
      </c>
      <c r="Z96" s="258">
        <f>'[1]9. Vzdelávanie'!$U$4</f>
        <v>0</v>
      </c>
      <c r="AA96" s="259">
        <f>'[1]9. Vzdelávanie'!$V$4</f>
        <v>0</v>
      </c>
    </row>
    <row r="97" spans="1:27" ht="15.75" x14ac:dyDescent="0.25">
      <c r="B97" s="285" t="s">
        <v>269</v>
      </c>
      <c r="C97" s="274" t="s">
        <v>270</v>
      </c>
      <c r="D97" s="260">
        <f t="shared" ref="D97:G97" si="204">SUM(D98:D105)</f>
        <v>1888862.08</v>
      </c>
      <c r="E97" s="258">
        <f t="shared" si="204"/>
        <v>1805760</v>
      </c>
      <c r="F97" s="258">
        <f t="shared" si="204"/>
        <v>83102.080000000002</v>
      </c>
      <c r="G97" s="259">
        <f t="shared" si="204"/>
        <v>0</v>
      </c>
      <c r="H97" s="260">
        <f t="shared" ref="H97:K97" si="205">SUM(H98:H105)</f>
        <v>2108317.7599999998</v>
      </c>
      <c r="I97" s="258">
        <f t="shared" si="205"/>
        <v>2028618</v>
      </c>
      <c r="J97" s="258">
        <f t="shared" si="205"/>
        <v>79699.759999999995</v>
      </c>
      <c r="K97" s="259">
        <f t="shared" si="205"/>
        <v>0</v>
      </c>
      <c r="L97" s="260">
        <f t="shared" ref="L97:O97" si="206">SUM(L98:L105)</f>
        <v>2314440</v>
      </c>
      <c r="M97" s="258">
        <f t="shared" si="206"/>
        <v>2314440</v>
      </c>
      <c r="N97" s="258">
        <f t="shared" si="206"/>
        <v>0</v>
      </c>
      <c r="O97" s="259">
        <f t="shared" si="206"/>
        <v>0</v>
      </c>
      <c r="P97" s="260">
        <f t="shared" ref="P97:S97" si="207">SUM(P98:P105)</f>
        <v>2314440</v>
      </c>
      <c r="Q97" s="258">
        <f t="shared" si="207"/>
        <v>2314440</v>
      </c>
      <c r="R97" s="258">
        <f t="shared" si="207"/>
        <v>0</v>
      </c>
      <c r="S97" s="259">
        <f t="shared" si="207"/>
        <v>0</v>
      </c>
      <c r="T97" s="260">
        <f t="shared" ref="T97:W97" si="208">SUM(T98:T105)</f>
        <v>16537</v>
      </c>
      <c r="U97" s="258">
        <f t="shared" si="208"/>
        <v>5537</v>
      </c>
      <c r="V97" s="258">
        <f t="shared" si="208"/>
        <v>11000</v>
      </c>
      <c r="W97" s="259">
        <f t="shared" si="208"/>
        <v>0</v>
      </c>
      <c r="X97" s="260">
        <f t="shared" ref="X97:AA97" si="209">SUM(X98:X105)</f>
        <v>2330977</v>
      </c>
      <c r="Y97" s="258">
        <f t="shared" si="209"/>
        <v>2319977</v>
      </c>
      <c r="Z97" s="258">
        <f t="shared" si="209"/>
        <v>11000</v>
      </c>
      <c r="AA97" s="259">
        <f t="shared" si="209"/>
        <v>0</v>
      </c>
    </row>
    <row r="98" spans="1:27" ht="15.75" x14ac:dyDescent="0.25">
      <c r="B98" s="273">
        <v>1</v>
      </c>
      <c r="C98" s="274" t="s">
        <v>271</v>
      </c>
      <c r="D98" s="260">
        <f>SUM(E98:G98)</f>
        <v>201563</v>
      </c>
      <c r="E98" s="258">
        <f>'[1]9. Vzdelávanie'!$E$20</f>
        <v>201563</v>
      </c>
      <c r="F98" s="258">
        <f>'[1]9. Vzdelávanie'!$F$20</f>
        <v>0</v>
      </c>
      <c r="G98" s="259">
        <f>'[1]9. Vzdelávanie'!$G$20</f>
        <v>0</v>
      </c>
      <c r="H98" s="260">
        <f>SUM(I98:K98)</f>
        <v>210497</v>
      </c>
      <c r="I98" s="258">
        <f>'[1]9. Vzdelávanie'!$H$20</f>
        <v>210497</v>
      </c>
      <c r="J98" s="258">
        <f>'[1]9. Vzdelávanie'!$I$20</f>
        <v>0</v>
      </c>
      <c r="K98" s="259">
        <f>'[1]9. Vzdelávanie'!$J$20</f>
        <v>0</v>
      </c>
      <c r="L98" s="260">
        <f>SUM(M98:O98)</f>
        <v>239880</v>
      </c>
      <c r="M98" s="258">
        <f>'[1]9. Vzdelávanie'!$K$20</f>
        <v>239880</v>
      </c>
      <c r="N98" s="258">
        <f>'[1]9. Vzdelávanie'!$L$20</f>
        <v>0</v>
      </c>
      <c r="O98" s="259">
        <f>'[1]9. Vzdelávanie'!$M$20</f>
        <v>0</v>
      </c>
      <c r="P98" s="260">
        <f>SUM(Q98:S98)</f>
        <v>239880</v>
      </c>
      <c r="Q98" s="258">
        <f>'[1]9. Vzdelávanie'!$N$20</f>
        <v>239880</v>
      </c>
      <c r="R98" s="258">
        <f>'[1]9. Vzdelávanie'!$O$20</f>
        <v>0</v>
      </c>
      <c r="S98" s="259">
        <f>'[1]9. Vzdelávanie'!$P$20</f>
        <v>0</v>
      </c>
      <c r="T98" s="260">
        <f>SUM(U98:W98)</f>
        <v>5300</v>
      </c>
      <c r="U98" s="258">
        <f>'[1]9. Vzdelávanie'!$Q$20</f>
        <v>5300</v>
      </c>
      <c r="V98" s="258">
        <f>'[1]9. Vzdelávanie'!$R$20</f>
        <v>0</v>
      </c>
      <c r="W98" s="259">
        <f>'[1]9. Vzdelávanie'!$S$20</f>
        <v>0</v>
      </c>
      <c r="X98" s="260">
        <f>SUM(Y98:AA98)</f>
        <v>245180</v>
      </c>
      <c r="Y98" s="258">
        <f>'[1]9. Vzdelávanie'!$T$20</f>
        <v>245180</v>
      </c>
      <c r="Z98" s="258">
        <f>'[1]9. Vzdelávanie'!$U$20</f>
        <v>0</v>
      </c>
      <c r="AA98" s="259">
        <f>'[1]9. Vzdelávanie'!$V$20</f>
        <v>0</v>
      </c>
    </row>
    <row r="99" spans="1:27" ht="15.75" x14ac:dyDescent="0.25">
      <c r="B99" s="273">
        <v>2</v>
      </c>
      <c r="C99" s="274" t="s">
        <v>272</v>
      </c>
      <c r="D99" s="260">
        <f t="shared" ref="D99:D105" si="210">SUM(E99:G99)</f>
        <v>326221</v>
      </c>
      <c r="E99" s="258">
        <f>'[1]9. Vzdelávanie'!$E$21</f>
        <v>311175</v>
      </c>
      <c r="F99" s="258">
        <f>'[1]9. Vzdelávanie'!$F$21</f>
        <v>15046</v>
      </c>
      <c r="G99" s="259">
        <f>'[1]9. Vzdelávanie'!$G$21</f>
        <v>0</v>
      </c>
      <c r="H99" s="260">
        <f t="shared" ref="H99:H105" si="211">SUM(I99:K99)</f>
        <v>391106.26</v>
      </c>
      <c r="I99" s="258">
        <f>'[1]9. Vzdelávanie'!$H$21</f>
        <v>359043</v>
      </c>
      <c r="J99" s="258">
        <f>'[1]9. Vzdelávanie'!$I$21</f>
        <v>32063.26</v>
      </c>
      <c r="K99" s="259">
        <f>'[1]9. Vzdelávanie'!$J$21</f>
        <v>0</v>
      </c>
      <c r="L99" s="260">
        <f t="shared" ref="L99:L105" si="212">SUM(M99:O99)</f>
        <v>409800</v>
      </c>
      <c r="M99" s="258">
        <f>'[1]9. Vzdelávanie'!$K$21</f>
        <v>409800</v>
      </c>
      <c r="N99" s="258">
        <f>'[1]9. Vzdelávanie'!$L$21</f>
        <v>0</v>
      </c>
      <c r="O99" s="259">
        <f>'[1]9. Vzdelávanie'!$M$21</f>
        <v>0</v>
      </c>
      <c r="P99" s="260">
        <f t="shared" ref="P99:P105" si="213">SUM(Q99:S99)</f>
        <v>409800</v>
      </c>
      <c r="Q99" s="258">
        <f>'[1]9. Vzdelávanie'!$N$21</f>
        <v>409800</v>
      </c>
      <c r="R99" s="258">
        <f>'[1]9. Vzdelávanie'!$O$21</f>
        <v>0</v>
      </c>
      <c r="S99" s="259">
        <f>'[1]9. Vzdelávanie'!$P$21</f>
        <v>0</v>
      </c>
      <c r="T99" s="260">
        <f t="shared" ref="T99:T105" si="214">SUM(U99:W99)</f>
        <v>11000</v>
      </c>
      <c r="U99" s="258">
        <f>'[1]9. Vzdelávanie'!$Q$21</f>
        <v>0</v>
      </c>
      <c r="V99" s="258">
        <f>'[1]9. Vzdelávanie'!$R$21</f>
        <v>11000</v>
      </c>
      <c r="W99" s="259">
        <f>'[1]9. Vzdelávanie'!$S$21</f>
        <v>0</v>
      </c>
      <c r="X99" s="260">
        <f t="shared" ref="X99:X105" si="215">SUM(Y99:AA99)</f>
        <v>420800</v>
      </c>
      <c r="Y99" s="258">
        <f>'[1]9. Vzdelávanie'!$T$21</f>
        <v>409800</v>
      </c>
      <c r="Z99" s="258">
        <f>'[1]9. Vzdelávanie'!$U$21</f>
        <v>11000</v>
      </c>
      <c r="AA99" s="259">
        <f>'[1]9. Vzdelávanie'!$V$21</f>
        <v>0</v>
      </c>
    </row>
    <row r="100" spans="1:27" ht="15.75" x14ac:dyDescent="0.25">
      <c r="B100" s="273">
        <v>3</v>
      </c>
      <c r="C100" s="274" t="s">
        <v>273</v>
      </c>
      <c r="D100" s="260">
        <f t="shared" si="210"/>
        <v>500532.96</v>
      </c>
      <c r="E100" s="258">
        <f>'[1]9. Vzdelávanie'!$E$22</f>
        <v>488852</v>
      </c>
      <c r="F100" s="258">
        <f>'[1]9. Vzdelávanie'!$F$22</f>
        <v>11680.96</v>
      </c>
      <c r="G100" s="259">
        <f>'[1]9. Vzdelávanie'!$G$22</f>
        <v>0</v>
      </c>
      <c r="H100" s="260">
        <f t="shared" si="211"/>
        <v>541684</v>
      </c>
      <c r="I100" s="258">
        <f>'[1]9. Vzdelávanie'!$H$22</f>
        <v>531346</v>
      </c>
      <c r="J100" s="258">
        <f>'[1]9. Vzdelávanie'!$I$22</f>
        <v>10338</v>
      </c>
      <c r="K100" s="259">
        <f>'[1]9. Vzdelávanie'!$J$22</f>
        <v>0</v>
      </c>
      <c r="L100" s="260">
        <f t="shared" si="212"/>
        <v>606330</v>
      </c>
      <c r="M100" s="258">
        <f>'[1]9. Vzdelávanie'!$K$22</f>
        <v>606330</v>
      </c>
      <c r="N100" s="258">
        <f>'[1]9. Vzdelávanie'!$L$22</f>
        <v>0</v>
      </c>
      <c r="O100" s="259">
        <f>'[1]9. Vzdelávanie'!$M$22</f>
        <v>0</v>
      </c>
      <c r="P100" s="260">
        <f t="shared" si="213"/>
        <v>606330</v>
      </c>
      <c r="Q100" s="258">
        <f>'[1]9. Vzdelávanie'!$N$22</f>
        <v>606330</v>
      </c>
      <c r="R100" s="258">
        <f>'[1]9. Vzdelávanie'!$O$22</f>
        <v>0</v>
      </c>
      <c r="S100" s="259">
        <f>'[1]9. Vzdelávanie'!$P$22</f>
        <v>0</v>
      </c>
      <c r="T100" s="260">
        <f t="shared" si="214"/>
        <v>0</v>
      </c>
      <c r="U100" s="258">
        <f>'[1]9. Vzdelávanie'!$Q$22</f>
        <v>0</v>
      </c>
      <c r="V100" s="258">
        <f>'[1]9. Vzdelávanie'!$R$22</f>
        <v>0</v>
      </c>
      <c r="W100" s="259">
        <f>'[1]9. Vzdelávanie'!$S$22</f>
        <v>0</v>
      </c>
      <c r="X100" s="260">
        <f t="shared" si="215"/>
        <v>606330</v>
      </c>
      <c r="Y100" s="258">
        <f>'[1]9. Vzdelávanie'!$T$22</f>
        <v>606330</v>
      </c>
      <c r="Z100" s="258">
        <f>'[1]9. Vzdelávanie'!$U$22</f>
        <v>0</v>
      </c>
      <c r="AA100" s="259">
        <f>'[1]9. Vzdelávanie'!$V$22</f>
        <v>0</v>
      </c>
    </row>
    <row r="101" spans="1:27" ht="15.75" x14ac:dyDescent="0.25">
      <c r="A101" s="102"/>
      <c r="B101" s="273">
        <v>4</v>
      </c>
      <c r="C101" s="274" t="s">
        <v>430</v>
      </c>
      <c r="D101" s="260">
        <f t="shared" si="210"/>
        <v>0</v>
      </c>
      <c r="E101" s="258">
        <f>'[1]9. Vzdelávanie'!$E$23</f>
        <v>0</v>
      </c>
      <c r="F101" s="258">
        <f>'[1]9. Vzdelávanie'!$F$23</f>
        <v>0</v>
      </c>
      <c r="G101" s="259">
        <f>'[1]9. Vzdelávanie'!$G$23</f>
        <v>0</v>
      </c>
      <c r="H101" s="260">
        <f t="shared" si="211"/>
        <v>0</v>
      </c>
      <c r="I101" s="258">
        <f>'[1]9. Vzdelávanie'!$H$23</f>
        <v>0</v>
      </c>
      <c r="J101" s="258">
        <f>'[1]9. Vzdelávanie'!$I$23</f>
        <v>0</v>
      </c>
      <c r="K101" s="259">
        <f>'[1]9. Vzdelávanie'!$J$23</f>
        <v>0</v>
      </c>
      <c r="L101" s="260">
        <f t="shared" si="212"/>
        <v>0</v>
      </c>
      <c r="M101" s="258">
        <f>'[1]9. Vzdelávanie'!$K$23</f>
        <v>0</v>
      </c>
      <c r="N101" s="258">
        <f>'[1]9. Vzdelávanie'!$L$23</f>
        <v>0</v>
      </c>
      <c r="O101" s="259">
        <f>'[1]9. Vzdelávanie'!$M$23</f>
        <v>0</v>
      </c>
      <c r="P101" s="260">
        <f t="shared" si="213"/>
        <v>0</v>
      </c>
      <c r="Q101" s="258">
        <f>'[1]9. Vzdelávanie'!$N$23</f>
        <v>0</v>
      </c>
      <c r="R101" s="258">
        <f>'[1]9. Vzdelávanie'!$O$23</f>
        <v>0</v>
      </c>
      <c r="S101" s="259">
        <f>'[1]9. Vzdelávanie'!$P$23</f>
        <v>0</v>
      </c>
      <c r="T101" s="260">
        <f t="shared" si="214"/>
        <v>0</v>
      </c>
      <c r="U101" s="258">
        <f>'[1]9. Vzdelávanie'!$Q$23</f>
        <v>0</v>
      </c>
      <c r="V101" s="258">
        <f>'[1]9. Vzdelávanie'!$R$23</f>
        <v>0</v>
      </c>
      <c r="W101" s="259">
        <f>'[1]9. Vzdelávanie'!$S$23</f>
        <v>0</v>
      </c>
      <c r="X101" s="260">
        <f t="shared" si="215"/>
        <v>0</v>
      </c>
      <c r="Y101" s="258">
        <f>'[1]9. Vzdelávanie'!$T$23</f>
        <v>0</v>
      </c>
      <c r="Z101" s="258">
        <f>'[1]9. Vzdelávanie'!$U$23</f>
        <v>0</v>
      </c>
      <c r="AA101" s="259">
        <f>'[1]9. Vzdelávanie'!$V$23</f>
        <v>0</v>
      </c>
    </row>
    <row r="102" spans="1:27" ht="15.75" x14ac:dyDescent="0.25">
      <c r="B102" s="273">
        <v>5</v>
      </c>
      <c r="C102" s="274" t="s">
        <v>275</v>
      </c>
      <c r="D102" s="260">
        <f t="shared" si="210"/>
        <v>242603</v>
      </c>
      <c r="E102" s="258">
        <f>'[1]9. Vzdelávanie'!$E$24</f>
        <v>242603</v>
      </c>
      <c r="F102" s="258">
        <f>'[1]9. Vzdelávanie'!$F$24</f>
        <v>0</v>
      </c>
      <c r="G102" s="259">
        <f>'[1]9. Vzdelávanie'!$G$24</f>
        <v>0</v>
      </c>
      <c r="H102" s="260">
        <f t="shared" si="211"/>
        <v>295989.5</v>
      </c>
      <c r="I102" s="258">
        <f>'[1]9. Vzdelávanie'!$H$24</f>
        <v>264583</v>
      </c>
      <c r="J102" s="258">
        <f>'[1]9. Vzdelávanie'!$I$24</f>
        <v>31406.5</v>
      </c>
      <c r="K102" s="259">
        <f>'[1]9. Vzdelávanie'!$J$24</f>
        <v>0</v>
      </c>
      <c r="L102" s="260">
        <f t="shared" si="212"/>
        <v>308240</v>
      </c>
      <c r="M102" s="258">
        <f>'[1]9. Vzdelávanie'!$K$24</f>
        <v>308240</v>
      </c>
      <c r="N102" s="258">
        <f>'[1]9. Vzdelávanie'!$L$24</f>
        <v>0</v>
      </c>
      <c r="O102" s="259">
        <f>'[1]9. Vzdelávanie'!$M$24</f>
        <v>0</v>
      </c>
      <c r="P102" s="260">
        <f t="shared" si="213"/>
        <v>308240</v>
      </c>
      <c r="Q102" s="258">
        <f>'[1]9. Vzdelávanie'!$N$24</f>
        <v>308240</v>
      </c>
      <c r="R102" s="258">
        <f>'[1]9. Vzdelávanie'!$O$24</f>
        <v>0</v>
      </c>
      <c r="S102" s="259">
        <f>'[1]9. Vzdelávanie'!$P$24</f>
        <v>0</v>
      </c>
      <c r="T102" s="260">
        <f t="shared" si="214"/>
        <v>0</v>
      </c>
      <c r="U102" s="258">
        <f>'[1]9. Vzdelávanie'!$Q$24</f>
        <v>0</v>
      </c>
      <c r="V102" s="258">
        <f>'[1]9. Vzdelávanie'!$R$24</f>
        <v>0</v>
      </c>
      <c r="W102" s="259">
        <f>'[1]9. Vzdelávanie'!$S$24</f>
        <v>0</v>
      </c>
      <c r="X102" s="260">
        <f t="shared" si="215"/>
        <v>308240</v>
      </c>
      <c r="Y102" s="258">
        <f>'[1]9. Vzdelávanie'!$T$24</f>
        <v>308240</v>
      </c>
      <c r="Z102" s="258">
        <f>'[1]9. Vzdelávanie'!$U$24</f>
        <v>0</v>
      </c>
      <c r="AA102" s="259">
        <f>'[1]9. Vzdelávanie'!$V$24</f>
        <v>0</v>
      </c>
    </row>
    <row r="103" spans="1:27" ht="15.75" x14ac:dyDescent="0.25">
      <c r="B103" s="273">
        <v>6</v>
      </c>
      <c r="C103" s="274" t="s">
        <v>276</v>
      </c>
      <c r="D103" s="260">
        <f t="shared" si="210"/>
        <v>259796</v>
      </c>
      <c r="E103" s="258">
        <f>'[1]9. Vzdelávanie'!$E$25</f>
        <v>259796</v>
      </c>
      <c r="F103" s="258">
        <f>'[1]9. Vzdelávanie'!$F$25</f>
        <v>0</v>
      </c>
      <c r="G103" s="259">
        <f>'[1]9. Vzdelávanie'!$G$25</f>
        <v>0</v>
      </c>
      <c r="H103" s="260">
        <f t="shared" si="211"/>
        <v>291240</v>
      </c>
      <c r="I103" s="258">
        <f>'[1]9. Vzdelávanie'!$H$25</f>
        <v>285348</v>
      </c>
      <c r="J103" s="258">
        <f>'[1]9. Vzdelávanie'!$I$25</f>
        <v>5892</v>
      </c>
      <c r="K103" s="259">
        <f>'[1]9. Vzdelávanie'!$J$25</f>
        <v>0</v>
      </c>
      <c r="L103" s="260">
        <f t="shared" si="212"/>
        <v>339530</v>
      </c>
      <c r="M103" s="258">
        <f>'[1]9. Vzdelávanie'!$K$25</f>
        <v>339530</v>
      </c>
      <c r="N103" s="258">
        <f>'[1]9. Vzdelávanie'!$L$25</f>
        <v>0</v>
      </c>
      <c r="O103" s="259">
        <f>'[1]9. Vzdelávanie'!$M$25</f>
        <v>0</v>
      </c>
      <c r="P103" s="260">
        <f t="shared" si="213"/>
        <v>339530</v>
      </c>
      <c r="Q103" s="258">
        <f>'[1]9. Vzdelávanie'!$N$25</f>
        <v>339530</v>
      </c>
      <c r="R103" s="258">
        <f>'[1]9. Vzdelávanie'!$O$25</f>
        <v>0</v>
      </c>
      <c r="S103" s="259">
        <f>'[1]9. Vzdelávanie'!$P$25</f>
        <v>0</v>
      </c>
      <c r="T103" s="260">
        <f t="shared" si="214"/>
        <v>0</v>
      </c>
      <c r="U103" s="258">
        <f>'[1]9. Vzdelávanie'!$Q$25</f>
        <v>0</v>
      </c>
      <c r="V103" s="258">
        <f>'[1]9. Vzdelávanie'!$R$25</f>
        <v>0</v>
      </c>
      <c r="W103" s="259">
        <f>'[1]9. Vzdelávanie'!$S$25</f>
        <v>0</v>
      </c>
      <c r="X103" s="260">
        <f t="shared" si="215"/>
        <v>339530</v>
      </c>
      <c r="Y103" s="258">
        <f>'[1]9. Vzdelávanie'!$T$25</f>
        <v>339530</v>
      </c>
      <c r="Z103" s="258">
        <f>'[1]9. Vzdelávanie'!$U$25</f>
        <v>0</v>
      </c>
      <c r="AA103" s="259">
        <f>'[1]9. Vzdelávanie'!$V$25</f>
        <v>0</v>
      </c>
    </row>
    <row r="104" spans="1:27" ht="15.75" x14ac:dyDescent="0.25">
      <c r="B104" s="273">
        <v>7</v>
      </c>
      <c r="C104" s="274" t="s">
        <v>277</v>
      </c>
      <c r="D104" s="260">
        <f t="shared" si="210"/>
        <v>315306.12</v>
      </c>
      <c r="E104" s="258">
        <f>'[1]9. Vzdelávanie'!$E$26</f>
        <v>258931</v>
      </c>
      <c r="F104" s="258">
        <f>'[1]9. Vzdelávanie'!$F$26</f>
        <v>56375.12</v>
      </c>
      <c r="G104" s="259">
        <f>'[1]9. Vzdelávanie'!$G$26</f>
        <v>0</v>
      </c>
      <c r="H104" s="260">
        <f t="shared" si="211"/>
        <v>293561</v>
      </c>
      <c r="I104" s="258">
        <f>'[1]9. Vzdelávanie'!$H$26</f>
        <v>293561</v>
      </c>
      <c r="J104" s="258">
        <f>'[1]9. Vzdelávanie'!$I$26</f>
        <v>0</v>
      </c>
      <c r="K104" s="259">
        <f>'[1]9. Vzdelávanie'!$J$26</f>
        <v>0</v>
      </c>
      <c r="L104" s="260">
        <f t="shared" si="212"/>
        <v>329160</v>
      </c>
      <c r="M104" s="258">
        <f>'[1]9. Vzdelávanie'!$K$26</f>
        <v>329160</v>
      </c>
      <c r="N104" s="258">
        <f>'[1]9. Vzdelávanie'!$L$26</f>
        <v>0</v>
      </c>
      <c r="O104" s="259">
        <f>'[1]9. Vzdelávanie'!$M$26</f>
        <v>0</v>
      </c>
      <c r="P104" s="260">
        <f t="shared" si="213"/>
        <v>329160</v>
      </c>
      <c r="Q104" s="258">
        <f>'[1]9. Vzdelávanie'!$N$26</f>
        <v>329160</v>
      </c>
      <c r="R104" s="258">
        <f>'[1]9. Vzdelávanie'!$O$26</f>
        <v>0</v>
      </c>
      <c r="S104" s="259">
        <f>'[1]9. Vzdelávanie'!$P$26</f>
        <v>0</v>
      </c>
      <c r="T104" s="260">
        <f t="shared" si="214"/>
        <v>0</v>
      </c>
      <c r="U104" s="258">
        <f>'[1]9. Vzdelávanie'!$Q$26</f>
        <v>0</v>
      </c>
      <c r="V104" s="258">
        <f>'[1]9. Vzdelávanie'!$R$26</f>
        <v>0</v>
      </c>
      <c r="W104" s="259">
        <f>'[1]9. Vzdelávanie'!$S$26</f>
        <v>0</v>
      </c>
      <c r="X104" s="260">
        <f t="shared" si="215"/>
        <v>329160</v>
      </c>
      <c r="Y104" s="258">
        <f>'[1]9. Vzdelávanie'!$T$26</f>
        <v>329160</v>
      </c>
      <c r="Z104" s="258">
        <f>'[1]9. Vzdelávanie'!$U$26</f>
        <v>0</v>
      </c>
      <c r="AA104" s="259">
        <f>'[1]9. Vzdelávanie'!$V$26</f>
        <v>0</v>
      </c>
    </row>
    <row r="105" spans="1:27" ht="15.75" x14ac:dyDescent="0.25">
      <c r="B105" s="273">
        <v>8</v>
      </c>
      <c r="C105" s="274" t="s">
        <v>438</v>
      </c>
      <c r="D105" s="260">
        <f t="shared" si="210"/>
        <v>42840</v>
      </c>
      <c r="E105" s="258">
        <f>'[1]9. Vzdelávanie'!$E$27</f>
        <v>42840</v>
      </c>
      <c r="F105" s="258">
        <f>'[1]9. Vzdelávanie'!$F$27</f>
        <v>0</v>
      </c>
      <c r="G105" s="259">
        <f>'[1]9. Vzdelávanie'!$G$27</f>
        <v>0</v>
      </c>
      <c r="H105" s="260">
        <f t="shared" si="211"/>
        <v>84240</v>
      </c>
      <c r="I105" s="258">
        <f>'[1]9. Vzdelávanie'!$H$27</f>
        <v>84240</v>
      </c>
      <c r="J105" s="258">
        <f>'[1]9. Vzdelávanie'!$I$27</f>
        <v>0</v>
      </c>
      <c r="K105" s="259">
        <f>'[1]9. Vzdelávanie'!$J$27</f>
        <v>0</v>
      </c>
      <c r="L105" s="260">
        <f t="shared" si="212"/>
        <v>81500</v>
      </c>
      <c r="M105" s="258">
        <f>'[1]9. Vzdelávanie'!$K$27</f>
        <v>81500</v>
      </c>
      <c r="N105" s="258">
        <f>'[1]9. Vzdelávanie'!$L$27</f>
        <v>0</v>
      </c>
      <c r="O105" s="259">
        <f>'[1]9. Vzdelávanie'!$M$27</f>
        <v>0</v>
      </c>
      <c r="P105" s="260">
        <f t="shared" si="213"/>
        <v>81500</v>
      </c>
      <c r="Q105" s="258">
        <f>'[1]9. Vzdelávanie'!$N$27</f>
        <v>81500</v>
      </c>
      <c r="R105" s="258">
        <f>'[1]9. Vzdelávanie'!$O$27</f>
        <v>0</v>
      </c>
      <c r="S105" s="259">
        <f>'[1]9. Vzdelávanie'!$P$27</f>
        <v>0</v>
      </c>
      <c r="T105" s="260">
        <f t="shared" si="214"/>
        <v>237</v>
      </c>
      <c r="U105" s="258">
        <f>'[1]9. Vzdelávanie'!$Q$27</f>
        <v>237</v>
      </c>
      <c r="V105" s="258">
        <f>'[1]9. Vzdelávanie'!$R$27</f>
        <v>0</v>
      </c>
      <c r="W105" s="259">
        <f>'[1]9. Vzdelávanie'!$S$27</f>
        <v>0</v>
      </c>
      <c r="X105" s="260">
        <f t="shared" si="215"/>
        <v>81737</v>
      </c>
      <c r="Y105" s="258">
        <f>'[1]9. Vzdelávanie'!$T$27</f>
        <v>81737</v>
      </c>
      <c r="Z105" s="258">
        <f>'[1]9. Vzdelávanie'!$U$27</f>
        <v>0</v>
      </c>
      <c r="AA105" s="259">
        <f>'[1]9. Vzdelávanie'!$V$27</f>
        <v>0</v>
      </c>
    </row>
    <row r="106" spans="1:27" ht="15.75" x14ac:dyDescent="0.25">
      <c r="B106" s="285" t="s">
        <v>278</v>
      </c>
      <c r="C106" s="274" t="s">
        <v>279</v>
      </c>
      <c r="D106" s="260">
        <f t="shared" ref="D106:G106" si="216">SUM(D107:D112)</f>
        <v>5838618.9299999997</v>
      </c>
      <c r="E106" s="258">
        <f t="shared" si="216"/>
        <v>5760741</v>
      </c>
      <c r="F106" s="258">
        <f t="shared" si="216"/>
        <v>77877.929999999993</v>
      </c>
      <c r="G106" s="259">
        <f t="shared" si="216"/>
        <v>0</v>
      </c>
      <c r="H106" s="260">
        <f t="shared" ref="H106:K106" si="217">SUM(H107:H112)</f>
        <v>6354482.5900000008</v>
      </c>
      <c r="I106" s="258">
        <f t="shared" si="217"/>
        <v>6108332.0200000005</v>
      </c>
      <c r="J106" s="258">
        <f t="shared" si="217"/>
        <v>246150.57</v>
      </c>
      <c r="K106" s="259">
        <f t="shared" si="217"/>
        <v>0</v>
      </c>
      <c r="L106" s="260">
        <f t="shared" ref="L106:O106" si="218">SUM(L107:L112)</f>
        <v>7052900</v>
      </c>
      <c r="M106" s="258">
        <f t="shared" si="218"/>
        <v>7052900</v>
      </c>
      <c r="N106" s="258">
        <f t="shared" si="218"/>
        <v>0</v>
      </c>
      <c r="O106" s="259">
        <f t="shared" si="218"/>
        <v>0</v>
      </c>
      <c r="P106" s="260">
        <f t="shared" ref="P106:S106" si="219">SUM(P107:P112)</f>
        <v>7052900</v>
      </c>
      <c r="Q106" s="258">
        <f t="shared" si="219"/>
        <v>7052900</v>
      </c>
      <c r="R106" s="258">
        <f t="shared" si="219"/>
        <v>0</v>
      </c>
      <c r="S106" s="259">
        <f t="shared" si="219"/>
        <v>0</v>
      </c>
      <c r="T106" s="260">
        <f t="shared" ref="T106:W106" si="220">SUM(T107:T112)</f>
        <v>0</v>
      </c>
      <c r="U106" s="258">
        <f t="shared" si="220"/>
        <v>0</v>
      </c>
      <c r="V106" s="258">
        <f t="shared" si="220"/>
        <v>0</v>
      </c>
      <c r="W106" s="259">
        <f t="shared" si="220"/>
        <v>0</v>
      </c>
      <c r="X106" s="260">
        <f t="shared" ref="X106:AA106" si="221">SUM(X107:X112)</f>
        <v>7052900</v>
      </c>
      <c r="Y106" s="258">
        <f t="shared" si="221"/>
        <v>7052900</v>
      </c>
      <c r="Z106" s="258">
        <f t="shared" si="221"/>
        <v>0</v>
      </c>
      <c r="AA106" s="259">
        <f t="shared" si="221"/>
        <v>0</v>
      </c>
    </row>
    <row r="107" spans="1:27" ht="15.75" x14ac:dyDescent="0.25">
      <c r="B107" s="273">
        <v>1</v>
      </c>
      <c r="C107" s="274" t="s">
        <v>280</v>
      </c>
      <c r="D107" s="260">
        <f>SUM(E107:G107)</f>
        <v>558912</v>
      </c>
      <c r="E107" s="258">
        <f>'[1]9. Vzdelávanie'!$E$29</f>
        <v>549672</v>
      </c>
      <c r="F107" s="258">
        <f>'[1]9. Vzdelávanie'!$F$29</f>
        <v>9240</v>
      </c>
      <c r="G107" s="259">
        <f>'[1]9. Vzdelávanie'!$G$29</f>
        <v>0</v>
      </c>
      <c r="H107" s="260">
        <f>SUM(I107:K107)</f>
        <v>611940</v>
      </c>
      <c r="I107" s="258">
        <f>'[1]9. Vzdelávanie'!$H$29</f>
        <v>608940</v>
      </c>
      <c r="J107" s="258">
        <f>'[1]9. Vzdelávanie'!$I$29</f>
        <v>3000</v>
      </c>
      <c r="K107" s="259">
        <f>'[1]9. Vzdelávanie'!$J$29</f>
        <v>0</v>
      </c>
      <c r="L107" s="260">
        <f>SUM(M107:O107)</f>
        <v>721100</v>
      </c>
      <c r="M107" s="258">
        <f>'[1]9. Vzdelávanie'!$K$29</f>
        <v>721100</v>
      </c>
      <c r="N107" s="258">
        <f>'[1]9. Vzdelávanie'!$L$29</f>
        <v>0</v>
      </c>
      <c r="O107" s="259">
        <f>'[1]9. Vzdelávanie'!$M$29</f>
        <v>0</v>
      </c>
      <c r="P107" s="260">
        <f>SUM(Q107:S107)</f>
        <v>721100</v>
      </c>
      <c r="Q107" s="258">
        <f>'[1]9. Vzdelávanie'!$N$29</f>
        <v>721100</v>
      </c>
      <c r="R107" s="258">
        <f>'[1]9. Vzdelávanie'!$O$29</f>
        <v>0</v>
      </c>
      <c r="S107" s="259">
        <f>'[1]9. Vzdelávanie'!$P$29</f>
        <v>0</v>
      </c>
      <c r="T107" s="260">
        <f>SUM(U107:W107)</f>
        <v>0</v>
      </c>
      <c r="U107" s="258">
        <f>'[1]9. Vzdelávanie'!$Q$29</f>
        <v>0</v>
      </c>
      <c r="V107" s="258">
        <f>'[1]9. Vzdelávanie'!$R$29</f>
        <v>0</v>
      </c>
      <c r="W107" s="259">
        <f>'[1]9. Vzdelávanie'!$S$29</f>
        <v>0</v>
      </c>
      <c r="X107" s="260">
        <f>SUM(Y107:AA107)</f>
        <v>721100</v>
      </c>
      <c r="Y107" s="258">
        <f>'[1]9. Vzdelávanie'!$T$29</f>
        <v>721100</v>
      </c>
      <c r="Z107" s="258">
        <f>'[1]9. Vzdelávanie'!$U$29</f>
        <v>0</v>
      </c>
      <c r="AA107" s="259">
        <f>'[1]9. Vzdelávanie'!$V$29</f>
        <v>0</v>
      </c>
    </row>
    <row r="108" spans="1:27" ht="15.75" x14ac:dyDescent="0.25">
      <c r="B108" s="273">
        <v>2</v>
      </c>
      <c r="C108" s="274" t="s">
        <v>457</v>
      </c>
      <c r="D108" s="260">
        <f t="shared" ref="D108:D112" si="222">SUM(E108:G108)</f>
        <v>855440</v>
      </c>
      <c r="E108" s="258">
        <f>'[1]9. Vzdelávanie'!$E$32</f>
        <v>855440</v>
      </c>
      <c r="F108" s="258">
        <f>'[1]9. Vzdelávanie'!$F$32</f>
        <v>0</v>
      </c>
      <c r="G108" s="259">
        <f>'[1]9. Vzdelávanie'!$G$32</f>
        <v>0</v>
      </c>
      <c r="H108" s="260">
        <f t="shared" ref="H108:H112" si="223">SUM(I108:K108)</f>
        <v>931350</v>
      </c>
      <c r="I108" s="258">
        <f>'[1]9. Vzdelávanie'!$H$32</f>
        <v>928620</v>
      </c>
      <c r="J108" s="258">
        <f>'[1]9. Vzdelávanie'!$I$32</f>
        <v>2730</v>
      </c>
      <c r="K108" s="259">
        <f>'[1]9. Vzdelávanie'!$J$32</f>
        <v>0</v>
      </c>
      <c r="L108" s="260">
        <f t="shared" ref="L108:L112" si="224">SUM(M108:O108)</f>
        <v>1052000</v>
      </c>
      <c r="M108" s="258">
        <f>'[1]9. Vzdelávanie'!$K$32</f>
        <v>1052000</v>
      </c>
      <c r="N108" s="258">
        <f>'[1]9. Vzdelávanie'!$L$32</f>
        <v>0</v>
      </c>
      <c r="O108" s="259">
        <f>'[1]9. Vzdelávanie'!$M$32</f>
        <v>0</v>
      </c>
      <c r="P108" s="260">
        <f t="shared" ref="P108:P112" si="225">SUM(Q108:S108)</f>
        <v>1052000</v>
      </c>
      <c r="Q108" s="258">
        <f>'[1]9. Vzdelávanie'!$N$32</f>
        <v>1052000</v>
      </c>
      <c r="R108" s="258">
        <f>'[1]9. Vzdelávanie'!$O$32</f>
        <v>0</v>
      </c>
      <c r="S108" s="259">
        <f>'[1]9. Vzdelávanie'!$P$32</f>
        <v>0</v>
      </c>
      <c r="T108" s="260">
        <f t="shared" ref="T108:T112" si="226">SUM(U108:W108)</f>
        <v>0</v>
      </c>
      <c r="U108" s="258">
        <f>'[1]9. Vzdelávanie'!$Q$32</f>
        <v>0</v>
      </c>
      <c r="V108" s="258">
        <f>'[1]9. Vzdelávanie'!$R$32</f>
        <v>0</v>
      </c>
      <c r="W108" s="259">
        <f>'[1]9. Vzdelávanie'!$S$32</f>
        <v>0</v>
      </c>
      <c r="X108" s="260">
        <f t="shared" ref="X108:X112" si="227">SUM(Y108:AA108)</f>
        <v>1052000</v>
      </c>
      <c r="Y108" s="258">
        <f>'[1]9. Vzdelávanie'!$T$32</f>
        <v>1052000</v>
      </c>
      <c r="Z108" s="258">
        <f>'[1]9. Vzdelávanie'!$U$32</f>
        <v>0</v>
      </c>
      <c r="AA108" s="259">
        <f>'[1]9. Vzdelávanie'!$V$32</f>
        <v>0</v>
      </c>
    </row>
    <row r="109" spans="1:27" ht="15.75" x14ac:dyDescent="0.25">
      <c r="A109" s="124"/>
      <c r="B109" s="273">
        <v>3</v>
      </c>
      <c r="C109" s="274" t="s">
        <v>458</v>
      </c>
      <c r="D109" s="260">
        <f t="shared" si="222"/>
        <v>1485900</v>
      </c>
      <c r="E109" s="258">
        <f>'[1]9. Vzdelávanie'!$E$36</f>
        <v>1485900</v>
      </c>
      <c r="F109" s="258">
        <f>'[1]9. Vzdelávanie'!$F$36</f>
        <v>0</v>
      </c>
      <c r="G109" s="259">
        <f>'[1]9. Vzdelávanie'!$G$36</f>
        <v>0</v>
      </c>
      <c r="H109" s="260">
        <f t="shared" si="223"/>
        <v>1623664.75</v>
      </c>
      <c r="I109" s="258">
        <f>'[1]9. Vzdelávanie'!$H$36</f>
        <v>1617665.25</v>
      </c>
      <c r="J109" s="258">
        <f>'[1]9. Vzdelávanie'!$I$36</f>
        <v>5999.5</v>
      </c>
      <c r="K109" s="259">
        <f>'[1]9. Vzdelávanie'!$J$36</f>
        <v>0</v>
      </c>
      <c r="L109" s="260">
        <f t="shared" si="224"/>
        <v>1855600</v>
      </c>
      <c r="M109" s="258">
        <f>'[1]9. Vzdelávanie'!$K$36</f>
        <v>1855600</v>
      </c>
      <c r="N109" s="258">
        <f>'[1]9. Vzdelávanie'!$L$36</f>
        <v>0</v>
      </c>
      <c r="O109" s="259">
        <f>'[1]9. Vzdelávanie'!$M$36</f>
        <v>0</v>
      </c>
      <c r="P109" s="260">
        <f t="shared" si="225"/>
        <v>1855600</v>
      </c>
      <c r="Q109" s="258">
        <f>'[1]9. Vzdelávanie'!$N$36</f>
        <v>1855600</v>
      </c>
      <c r="R109" s="258">
        <f>'[1]9. Vzdelávanie'!$O$36</f>
        <v>0</v>
      </c>
      <c r="S109" s="259">
        <f>'[1]9. Vzdelávanie'!$P$36</f>
        <v>0</v>
      </c>
      <c r="T109" s="260">
        <f t="shared" si="226"/>
        <v>0</v>
      </c>
      <c r="U109" s="258">
        <f>'[1]9. Vzdelávanie'!$Q$36</f>
        <v>0</v>
      </c>
      <c r="V109" s="258">
        <f>'[1]9. Vzdelávanie'!$R$36</f>
        <v>0</v>
      </c>
      <c r="W109" s="259">
        <f>'[1]9. Vzdelávanie'!$S$36</f>
        <v>0</v>
      </c>
      <c r="X109" s="260">
        <f t="shared" si="227"/>
        <v>1855600</v>
      </c>
      <c r="Y109" s="258">
        <f>'[1]9. Vzdelávanie'!$T$36</f>
        <v>1855600</v>
      </c>
      <c r="Z109" s="258">
        <f>'[1]9. Vzdelávanie'!$U$36</f>
        <v>0</v>
      </c>
      <c r="AA109" s="259">
        <f>'[1]9. Vzdelávanie'!$V$36</f>
        <v>0</v>
      </c>
    </row>
    <row r="110" spans="1:27" ht="15.75" x14ac:dyDescent="0.25">
      <c r="A110" s="124"/>
      <c r="B110" s="273">
        <v>4</v>
      </c>
      <c r="C110" s="274" t="s">
        <v>459</v>
      </c>
      <c r="D110" s="260">
        <f t="shared" si="222"/>
        <v>1322050.93</v>
      </c>
      <c r="E110" s="258">
        <f>'[1]9. Vzdelávanie'!$E$41</f>
        <v>1253413</v>
      </c>
      <c r="F110" s="258">
        <f>'[1]9. Vzdelávanie'!$F$41</f>
        <v>68637.929999999993</v>
      </c>
      <c r="G110" s="259">
        <f>'[1]9. Vzdelávanie'!$G$41</f>
        <v>0</v>
      </c>
      <c r="H110" s="260">
        <f t="shared" si="223"/>
        <v>1303599.23</v>
      </c>
      <c r="I110" s="258">
        <f>'[1]9. Vzdelávanie'!$H$41</f>
        <v>1303599.23</v>
      </c>
      <c r="J110" s="258">
        <f>'[1]9. Vzdelávanie'!$I$41</f>
        <v>0</v>
      </c>
      <c r="K110" s="259">
        <f>'[1]9. Vzdelávanie'!$J$41</f>
        <v>0</v>
      </c>
      <c r="L110" s="260">
        <f t="shared" si="224"/>
        <v>1552300</v>
      </c>
      <c r="M110" s="258">
        <f>'[1]9. Vzdelávanie'!$K$41</f>
        <v>1552300</v>
      </c>
      <c r="N110" s="258">
        <f>'[1]9. Vzdelávanie'!$L$41</f>
        <v>0</v>
      </c>
      <c r="O110" s="259">
        <f>'[1]9. Vzdelávanie'!$M$41</f>
        <v>0</v>
      </c>
      <c r="P110" s="260">
        <f t="shared" si="225"/>
        <v>1552300</v>
      </c>
      <c r="Q110" s="258">
        <f>'[1]9. Vzdelávanie'!$N$41</f>
        <v>1552300</v>
      </c>
      <c r="R110" s="258">
        <f>'[1]9. Vzdelávanie'!$O$41</f>
        <v>0</v>
      </c>
      <c r="S110" s="259">
        <f>'[1]9. Vzdelávanie'!$P$41</f>
        <v>0</v>
      </c>
      <c r="T110" s="260">
        <f t="shared" si="226"/>
        <v>0</v>
      </c>
      <c r="U110" s="258">
        <f>'[1]9. Vzdelávanie'!$Q$41</f>
        <v>0</v>
      </c>
      <c r="V110" s="258">
        <f>'[1]9. Vzdelávanie'!$R$41</f>
        <v>0</v>
      </c>
      <c r="W110" s="259">
        <f>'[1]9. Vzdelávanie'!$S$41</f>
        <v>0</v>
      </c>
      <c r="X110" s="260">
        <f t="shared" si="227"/>
        <v>1552300</v>
      </c>
      <c r="Y110" s="258">
        <f>'[1]9. Vzdelávanie'!$T$41</f>
        <v>1552300</v>
      </c>
      <c r="Z110" s="258">
        <f>'[1]9. Vzdelávanie'!$U$41</f>
        <v>0</v>
      </c>
      <c r="AA110" s="259">
        <f>'[1]9. Vzdelávanie'!$V$41</f>
        <v>0</v>
      </c>
    </row>
    <row r="111" spans="1:27" ht="15.75" x14ac:dyDescent="0.25">
      <c r="A111" s="124"/>
      <c r="B111" s="273">
        <v>5</v>
      </c>
      <c r="C111" s="274" t="s">
        <v>460</v>
      </c>
      <c r="D111" s="260">
        <f t="shared" si="222"/>
        <v>1026169</v>
      </c>
      <c r="E111" s="258">
        <f>'[1]9. Vzdelávanie'!$E$44</f>
        <v>1026169</v>
      </c>
      <c r="F111" s="258">
        <f>'[1]9. Vzdelávanie'!$F$44</f>
        <v>0</v>
      </c>
      <c r="G111" s="259">
        <f>'[1]9. Vzdelávanie'!$G$44</f>
        <v>0</v>
      </c>
      <c r="H111" s="260">
        <f t="shared" si="223"/>
        <v>1247383.6100000001</v>
      </c>
      <c r="I111" s="258">
        <f>'[1]9. Vzdelávanie'!$H$44</f>
        <v>1012962.54</v>
      </c>
      <c r="J111" s="258">
        <f>'[1]9. Vzdelávanie'!$I$44</f>
        <v>234421.07</v>
      </c>
      <c r="K111" s="259">
        <f>'[1]9. Vzdelávanie'!$J$44</f>
        <v>0</v>
      </c>
      <c r="L111" s="260">
        <f t="shared" si="224"/>
        <v>1153500</v>
      </c>
      <c r="M111" s="258">
        <f>'[1]9. Vzdelávanie'!$K$44</f>
        <v>1153500</v>
      </c>
      <c r="N111" s="258">
        <f>'[1]9. Vzdelávanie'!$L$44</f>
        <v>0</v>
      </c>
      <c r="O111" s="259">
        <f>'[1]9. Vzdelávanie'!$M$44</f>
        <v>0</v>
      </c>
      <c r="P111" s="260">
        <f t="shared" si="225"/>
        <v>1153500</v>
      </c>
      <c r="Q111" s="258">
        <f>'[1]9. Vzdelávanie'!$N$44</f>
        <v>1153500</v>
      </c>
      <c r="R111" s="258">
        <f>'[1]9. Vzdelávanie'!$O$44</f>
        <v>0</v>
      </c>
      <c r="S111" s="259">
        <f>'[1]9. Vzdelávanie'!$P$44</f>
        <v>0</v>
      </c>
      <c r="T111" s="260">
        <f t="shared" si="226"/>
        <v>0</v>
      </c>
      <c r="U111" s="258">
        <f>'[1]9. Vzdelávanie'!$Q$44</f>
        <v>0</v>
      </c>
      <c r="V111" s="258">
        <f>'[1]9. Vzdelávanie'!$R$44</f>
        <v>0</v>
      </c>
      <c r="W111" s="259">
        <f>'[1]9. Vzdelávanie'!$S$44</f>
        <v>0</v>
      </c>
      <c r="X111" s="260">
        <f t="shared" si="227"/>
        <v>1153500</v>
      </c>
      <c r="Y111" s="258">
        <f>'[1]9. Vzdelávanie'!$T$44</f>
        <v>1153500</v>
      </c>
      <c r="Z111" s="258">
        <f>'[1]9. Vzdelávanie'!$U$44</f>
        <v>0</v>
      </c>
      <c r="AA111" s="259">
        <f>'[1]9. Vzdelávanie'!$V$44</f>
        <v>0</v>
      </c>
    </row>
    <row r="112" spans="1:27" ht="15.75" x14ac:dyDescent="0.25">
      <c r="A112" s="124"/>
      <c r="B112" s="273">
        <v>6</v>
      </c>
      <c r="C112" s="274" t="s">
        <v>461</v>
      </c>
      <c r="D112" s="260">
        <f t="shared" si="222"/>
        <v>590147</v>
      </c>
      <c r="E112" s="258">
        <f>'[1]9. Vzdelávanie'!$E$47</f>
        <v>590147</v>
      </c>
      <c r="F112" s="258">
        <f>'[1]9. Vzdelávanie'!$F$47</f>
        <v>0</v>
      </c>
      <c r="G112" s="259">
        <f>'[1]9. Vzdelávanie'!$G$47</f>
        <v>0</v>
      </c>
      <c r="H112" s="260">
        <f t="shared" si="223"/>
        <v>636545</v>
      </c>
      <c r="I112" s="258">
        <f>'[1]9. Vzdelávanie'!$H$47</f>
        <v>636545</v>
      </c>
      <c r="J112" s="258">
        <f>'[1]9. Vzdelávanie'!$I$47</f>
        <v>0</v>
      </c>
      <c r="K112" s="259">
        <f>'[1]9. Vzdelávanie'!$J$47</f>
        <v>0</v>
      </c>
      <c r="L112" s="260">
        <f t="shared" si="224"/>
        <v>718400</v>
      </c>
      <c r="M112" s="258">
        <f>'[1]9. Vzdelávanie'!$K$47</f>
        <v>718400</v>
      </c>
      <c r="N112" s="258">
        <f>'[1]9. Vzdelávanie'!$L$47</f>
        <v>0</v>
      </c>
      <c r="O112" s="259">
        <f>'[1]9. Vzdelávanie'!$M$47</f>
        <v>0</v>
      </c>
      <c r="P112" s="260">
        <f t="shared" si="225"/>
        <v>718400</v>
      </c>
      <c r="Q112" s="258">
        <f>'[1]9. Vzdelávanie'!$N$47</f>
        <v>718400</v>
      </c>
      <c r="R112" s="258">
        <f>'[1]9. Vzdelávanie'!$O$47</f>
        <v>0</v>
      </c>
      <c r="S112" s="259">
        <f>'[1]9. Vzdelávanie'!$P$47</f>
        <v>0</v>
      </c>
      <c r="T112" s="260">
        <f t="shared" si="226"/>
        <v>0</v>
      </c>
      <c r="U112" s="258">
        <f>'[1]9. Vzdelávanie'!$Q$47</f>
        <v>0</v>
      </c>
      <c r="V112" s="258">
        <f>'[1]9. Vzdelávanie'!$R$47</f>
        <v>0</v>
      </c>
      <c r="W112" s="259">
        <f>'[1]9. Vzdelávanie'!$S$47</f>
        <v>0</v>
      </c>
      <c r="X112" s="260">
        <f t="shared" si="227"/>
        <v>718400</v>
      </c>
      <c r="Y112" s="258">
        <f>'[1]9. Vzdelávanie'!$T$47</f>
        <v>718400</v>
      </c>
      <c r="Z112" s="258">
        <f>'[1]9. Vzdelávanie'!$U$47</f>
        <v>0</v>
      </c>
      <c r="AA112" s="259">
        <f>'[1]9. Vzdelávanie'!$V$47</f>
        <v>0</v>
      </c>
    </row>
    <row r="113" spans="1:27" ht="15.75" x14ac:dyDescent="0.25">
      <c r="A113" s="124"/>
      <c r="B113" s="285" t="s">
        <v>286</v>
      </c>
      <c r="C113" s="274" t="s">
        <v>287</v>
      </c>
      <c r="D113" s="260">
        <f t="shared" ref="D113:G113" si="228">SUM(D114:D115)</f>
        <v>749268</v>
      </c>
      <c r="E113" s="258">
        <f t="shared" si="228"/>
        <v>749268</v>
      </c>
      <c r="F113" s="258">
        <f t="shared" si="228"/>
        <v>0</v>
      </c>
      <c r="G113" s="259">
        <f t="shared" si="228"/>
        <v>0</v>
      </c>
      <c r="H113" s="260">
        <f t="shared" ref="H113:K113" si="229">SUM(H114:H115)</f>
        <v>915371.53</v>
      </c>
      <c r="I113" s="258">
        <f t="shared" si="229"/>
        <v>904920</v>
      </c>
      <c r="J113" s="258">
        <f t="shared" si="229"/>
        <v>10451.530000000001</v>
      </c>
      <c r="K113" s="259">
        <f t="shared" si="229"/>
        <v>0</v>
      </c>
      <c r="L113" s="260">
        <f t="shared" ref="L113:O113" si="230">SUM(L114:L115)</f>
        <v>1021700</v>
      </c>
      <c r="M113" s="258">
        <f t="shared" si="230"/>
        <v>1021700</v>
      </c>
      <c r="N113" s="258">
        <f t="shared" si="230"/>
        <v>0</v>
      </c>
      <c r="O113" s="259">
        <f t="shared" si="230"/>
        <v>0</v>
      </c>
      <c r="P113" s="260">
        <f t="shared" ref="P113:S113" si="231">SUM(P114:P115)</f>
        <v>1021700</v>
      </c>
      <c r="Q113" s="258">
        <f t="shared" si="231"/>
        <v>1021700</v>
      </c>
      <c r="R113" s="258">
        <f t="shared" si="231"/>
        <v>0</v>
      </c>
      <c r="S113" s="259">
        <f t="shared" si="231"/>
        <v>0</v>
      </c>
      <c r="T113" s="260">
        <f t="shared" ref="T113:W113" si="232">SUM(T114:T115)</f>
        <v>0</v>
      </c>
      <c r="U113" s="258">
        <f t="shared" si="232"/>
        <v>0</v>
      </c>
      <c r="V113" s="258">
        <f t="shared" si="232"/>
        <v>0</v>
      </c>
      <c r="W113" s="259">
        <f t="shared" si="232"/>
        <v>0</v>
      </c>
      <c r="X113" s="260">
        <f t="shared" ref="X113:AA113" si="233">SUM(X114:X115)</f>
        <v>1021700</v>
      </c>
      <c r="Y113" s="258">
        <f t="shared" si="233"/>
        <v>1021700</v>
      </c>
      <c r="Z113" s="258">
        <f t="shared" si="233"/>
        <v>0</v>
      </c>
      <c r="AA113" s="259">
        <f t="shared" si="233"/>
        <v>0</v>
      </c>
    </row>
    <row r="114" spans="1:27" ht="15.75" x14ac:dyDescent="0.25">
      <c r="A114" s="124"/>
      <c r="B114" s="273">
        <v>1</v>
      </c>
      <c r="C114" s="274" t="s">
        <v>288</v>
      </c>
      <c r="D114" s="260">
        <f>SUM(E114:G114)</f>
        <v>517868</v>
      </c>
      <c r="E114" s="258">
        <f>'[1]9. Vzdelávanie'!$E$51</f>
        <v>517868</v>
      </c>
      <c r="F114" s="258">
        <f>'[1]9. Vzdelávanie'!$F$51</f>
        <v>0</v>
      </c>
      <c r="G114" s="259">
        <f>'[1]9. Vzdelávanie'!$G$51</f>
        <v>0</v>
      </c>
      <c r="H114" s="260">
        <f>SUM(I114:K114)</f>
        <v>642200</v>
      </c>
      <c r="I114" s="258">
        <f>'[1]9. Vzdelávanie'!$H$51</f>
        <v>642200</v>
      </c>
      <c r="J114" s="258">
        <f>'[1]9. Vzdelávanie'!$I$51</f>
        <v>0</v>
      </c>
      <c r="K114" s="259">
        <f>'[1]9. Vzdelávanie'!$J$51</f>
        <v>0</v>
      </c>
      <c r="L114" s="260">
        <f>SUM(M114:O114)</f>
        <v>719660</v>
      </c>
      <c r="M114" s="258">
        <f>'[1]9. Vzdelávanie'!$K$51</f>
        <v>719660</v>
      </c>
      <c r="N114" s="258">
        <f>'[1]9. Vzdelávanie'!$L$51</f>
        <v>0</v>
      </c>
      <c r="O114" s="259">
        <f>'[1]9. Vzdelávanie'!$M$51</f>
        <v>0</v>
      </c>
      <c r="P114" s="260">
        <f>SUM(Q114:S114)</f>
        <v>719660</v>
      </c>
      <c r="Q114" s="258">
        <f>'[1]9. Vzdelávanie'!$N$51</f>
        <v>719660</v>
      </c>
      <c r="R114" s="258">
        <f>'[1]9. Vzdelávanie'!$O$51</f>
        <v>0</v>
      </c>
      <c r="S114" s="259">
        <f>'[1]9. Vzdelávanie'!$P$51</f>
        <v>0</v>
      </c>
      <c r="T114" s="260">
        <f>SUM(U114:W114)</f>
        <v>0</v>
      </c>
      <c r="U114" s="258">
        <f>'[1]9. Vzdelávanie'!$Q$51</f>
        <v>0</v>
      </c>
      <c r="V114" s="258">
        <f>'[1]9. Vzdelávanie'!$R$51</f>
        <v>0</v>
      </c>
      <c r="W114" s="259">
        <f>'[1]9. Vzdelávanie'!$S$51</f>
        <v>0</v>
      </c>
      <c r="X114" s="260">
        <f>SUM(Y114:AA114)</f>
        <v>719660</v>
      </c>
      <c r="Y114" s="258">
        <f>'[1]9. Vzdelávanie'!$T$51</f>
        <v>719660</v>
      </c>
      <c r="Z114" s="258">
        <f>'[1]9. Vzdelávanie'!$U$51</f>
        <v>0</v>
      </c>
      <c r="AA114" s="259">
        <f>'[1]9. Vzdelávanie'!$V$51</f>
        <v>0</v>
      </c>
    </row>
    <row r="115" spans="1:27" ht="15.75" x14ac:dyDescent="0.25">
      <c r="A115" s="124"/>
      <c r="B115" s="273">
        <v>2</v>
      </c>
      <c r="C115" s="274" t="s">
        <v>289</v>
      </c>
      <c r="D115" s="260">
        <f t="shared" ref="D115:D119" si="234">SUM(E115:G115)</f>
        <v>231400</v>
      </c>
      <c r="E115" s="258">
        <f>'[1]9. Vzdelávanie'!$E$52</f>
        <v>231400</v>
      </c>
      <c r="F115" s="258">
        <f>'[1]9. Vzdelávanie'!$F$52</f>
        <v>0</v>
      </c>
      <c r="G115" s="259">
        <f>'[1]9. Vzdelávanie'!$G$52</f>
        <v>0</v>
      </c>
      <c r="H115" s="260">
        <f t="shared" ref="H115:H119" si="235">SUM(I115:K115)</f>
        <v>273171.53000000003</v>
      </c>
      <c r="I115" s="258">
        <f>'[1]9. Vzdelávanie'!$H$52</f>
        <v>262720</v>
      </c>
      <c r="J115" s="258">
        <f>'[1]9. Vzdelávanie'!$I$52</f>
        <v>10451.530000000001</v>
      </c>
      <c r="K115" s="259">
        <f>'[1]9. Vzdelávanie'!$J$52</f>
        <v>0</v>
      </c>
      <c r="L115" s="260">
        <f t="shared" ref="L115:L119" si="236">SUM(M115:O115)</f>
        <v>302040</v>
      </c>
      <c r="M115" s="258">
        <f>'[1]9. Vzdelávanie'!$K$52</f>
        <v>302040</v>
      </c>
      <c r="N115" s="258">
        <f>'[1]9. Vzdelávanie'!$L$52</f>
        <v>0</v>
      </c>
      <c r="O115" s="259">
        <f>'[1]9. Vzdelávanie'!$M$52</f>
        <v>0</v>
      </c>
      <c r="P115" s="260">
        <f t="shared" ref="P115:P119" si="237">SUM(Q115:S115)</f>
        <v>302040</v>
      </c>
      <c r="Q115" s="258">
        <f>'[1]9. Vzdelávanie'!$N$52</f>
        <v>302040</v>
      </c>
      <c r="R115" s="258">
        <f>'[1]9. Vzdelávanie'!$O$52</f>
        <v>0</v>
      </c>
      <c r="S115" s="259">
        <f>'[1]9. Vzdelávanie'!$P$52</f>
        <v>0</v>
      </c>
      <c r="T115" s="260">
        <f t="shared" ref="T115:T119" si="238">SUM(U115:W115)</f>
        <v>0</v>
      </c>
      <c r="U115" s="258">
        <f>'[1]9. Vzdelávanie'!$Q$52</f>
        <v>0</v>
      </c>
      <c r="V115" s="258">
        <f>'[1]9. Vzdelávanie'!$R$52</f>
        <v>0</v>
      </c>
      <c r="W115" s="259">
        <f>'[1]9. Vzdelávanie'!$S$52</f>
        <v>0</v>
      </c>
      <c r="X115" s="260">
        <f t="shared" ref="X115:X119" si="239">SUM(Y115:AA115)</f>
        <v>302040</v>
      </c>
      <c r="Y115" s="258">
        <f>'[1]9. Vzdelávanie'!$T$52</f>
        <v>302040</v>
      </c>
      <c r="Z115" s="258">
        <f>'[1]9. Vzdelávanie'!$U$52</f>
        <v>0</v>
      </c>
      <c r="AA115" s="259">
        <f>'[1]9. Vzdelávanie'!$V$52</f>
        <v>0</v>
      </c>
    </row>
    <row r="116" spans="1:27" ht="15.75" x14ac:dyDescent="0.25">
      <c r="A116" s="124"/>
      <c r="B116" s="285" t="s">
        <v>290</v>
      </c>
      <c r="C116" s="274" t="s">
        <v>291</v>
      </c>
      <c r="D116" s="260">
        <f t="shared" si="234"/>
        <v>344600.22</v>
      </c>
      <c r="E116" s="258">
        <f>'[1]9. Vzdelávanie'!$E$53</f>
        <v>344600.22</v>
      </c>
      <c r="F116" s="258">
        <f>'[1]9. Vzdelávanie'!$F$53</f>
        <v>0</v>
      </c>
      <c r="G116" s="259">
        <f>'[1]9. Vzdelávanie'!$G$53</f>
        <v>0</v>
      </c>
      <c r="H116" s="260">
        <f t="shared" si="235"/>
        <v>589702.65</v>
      </c>
      <c r="I116" s="258">
        <f>'[1]9. Vzdelávanie'!$H$53</f>
        <v>589702.65</v>
      </c>
      <c r="J116" s="258">
        <f>'[1]9. Vzdelávanie'!$I$53</f>
        <v>0</v>
      </c>
      <c r="K116" s="259">
        <f>'[1]9. Vzdelávanie'!$J$53</f>
        <v>0</v>
      </c>
      <c r="L116" s="260">
        <f t="shared" si="236"/>
        <v>477540</v>
      </c>
      <c r="M116" s="258">
        <f>'[1]9. Vzdelávanie'!$K$53</f>
        <v>477540</v>
      </c>
      <c r="N116" s="258">
        <f>'[1]9. Vzdelávanie'!$L$53</f>
        <v>0</v>
      </c>
      <c r="O116" s="259">
        <f>'[1]9. Vzdelávanie'!$M$53</f>
        <v>0</v>
      </c>
      <c r="P116" s="260">
        <f t="shared" si="237"/>
        <v>482434</v>
      </c>
      <c r="Q116" s="258">
        <f>'[1]9. Vzdelávanie'!$N$53</f>
        <v>482434</v>
      </c>
      <c r="R116" s="258">
        <f>'[1]9. Vzdelávanie'!$O$53</f>
        <v>0</v>
      </c>
      <c r="S116" s="259">
        <f>'[1]9. Vzdelávanie'!$P$53</f>
        <v>0</v>
      </c>
      <c r="T116" s="260">
        <f t="shared" si="238"/>
        <v>163092</v>
      </c>
      <c r="U116" s="258">
        <f>'[1]9. Vzdelávanie'!$Q$53</f>
        <v>163092</v>
      </c>
      <c r="V116" s="258">
        <f>'[1]9. Vzdelávanie'!$R$53</f>
        <v>0</v>
      </c>
      <c r="W116" s="259">
        <f>'[1]9. Vzdelávanie'!$S$53</f>
        <v>0</v>
      </c>
      <c r="X116" s="260">
        <f t="shared" si="239"/>
        <v>645526</v>
      </c>
      <c r="Y116" s="258">
        <f>'[1]9. Vzdelávanie'!$T$53</f>
        <v>645526</v>
      </c>
      <c r="Z116" s="258">
        <f>'[1]9. Vzdelávanie'!$U$53</f>
        <v>0</v>
      </c>
      <c r="AA116" s="259">
        <f>'[1]9. Vzdelávanie'!$V$53</f>
        <v>0</v>
      </c>
    </row>
    <row r="117" spans="1:27" ht="15.75" x14ac:dyDescent="0.25">
      <c r="A117" s="124"/>
      <c r="B117" s="285" t="s">
        <v>292</v>
      </c>
      <c r="C117" s="274" t="s">
        <v>293</v>
      </c>
      <c r="D117" s="260">
        <f t="shared" si="234"/>
        <v>647288.85000000009</v>
      </c>
      <c r="E117" s="258">
        <f>'[1]9. Vzdelávanie'!$E$73</f>
        <v>621982.06000000006</v>
      </c>
      <c r="F117" s="258">
        <f>'[1]9. Vzdelávanie'!$F$73</f>
        <v>25306.79</v>
      </c>
      <c r="G117" s="259">
        <f>'[1]9. Vzdelávanie'!$G$73</f>
        <v>0</v>
      </c>
      <c r="H117" s="260">
        <f t="shared" si="235"/>
        <v>793049.43</v>
      </c>
      <c r="I117" s="258">
        <f>'[1]9. Vzdelávanie'!$H$73</f>
        <v>776703.63</v>
      </c>
      <c r="J117" s="258">
        <f>'[1]9. Vzdelávanie'!$I$73</f>
        <v>16345.8</v>
      </c>
      <c r="K117" s="259">
        <f>'[1]9. Vzdelávanie'!$J$73</f>
        <v>0</v>
      </c>
      <c r="L117" s="260">
        <f t="shared" si="236"/>
        <v>815700</v>
      </c>
      <c r="M117" s="258">
        <f>'[1]9. Vzdelávanie'!$K$73</f>
        <v>815700</v>
      </c>
      <c r="N117" s="258">
        <f>'[1]9. Vzdelávanie'!$L$73</f>
        <v>0</v>
      </c>
      <c r="O117" s="259">
        <f>'[1]9. Vzdelávanie'!$M$73</f>
        <v>0</v>
      </c>
      <c r="P117" s="260">
        <f t="shared" si="237"/>
        <v>815700</v>
      </c>
      <c r="Q117" s="258">
        <f>'[1]9. Vzdelávanie'!$N$73</f>
        <v>801247</v>
      </c>
      <c r="R117" s="258">
        <f>'[1]9. Vzdelávanie'!$O$73</f>
        <v>14453</v>
      </c>
      <c r="S117" s="259">
        <f>'[1]9. Vzdelávanie'!$P$73</f>
        <v>0</v>
      </c>
      <c r="T117" s="260">
        <f t="shared" si="238"/>
        <v>68115</v>
      </c>
      <c r="U117" s="258">
        <f>'[1]9. Vzdelávanie'!$Q$73</f>
        <v>61115</v>
      </c>
      <c r="V117" s="258">
        <f>'[1]9. Vzdelávanie'!$R$73</f>
        <v>7000</v>
      </c>
      <c r="W117" s="259">
        <f>'[1]9. Vzdelávanie'!$S$73</f>
        <v>0</v>
      </c>
      <c r="X117" s="260">
        <f t="shared" si="239"/>
        <v>883815</v>
      </c>
      <c r="Y117" s="258">
        <f>'[1]9. Vzdelávanie'!$T$73</f>
        <v>862362</v>
      </c>
      <c r="Z117" s="258">
        <f>'[1]9. Vzdelávanie'!$U$73</f>
        <v>21453</v>
      </c>
      <c r="AA117" s="259">
        <f>'[1]9. Vzdelávanie'!$V$73</f>
        <v>0</v>
      </c>
    </row>
    <row r="118" spans="1:27" ht="15.75" x14ac:dyDescent="0.25">
      <c r="A118" s="124"/>
      <c r="B118" s="350" t="s">
        <v>294</v>
      </c>
      <c r="C118" s="351" t="s">
        <v>413</v>
      </c>
      <c r="D118" s="260">
        <f t="shared" si="234"/>
        <v>161788.28999999998</v>
      </c>
      <c r="E118" s="258">
        <f>'[1]9. Vzdelávanie'!$E$74</f>
        <v>161788.28999999998</v>
      </c>
      <c r="F118" s="258">
        <f>'[1]9. Vzdelávanie'!$F$74</f>
        <v>0</v>
      </c>
      <c r="G118" s="259">
        <f>'[1]9. Vzdelávanie'!$G$74</f>
        <v>0</v>
      </c>
      <c r="H118" s="260">
        <f t="shared" si="235"/>
        <v>240504.3</v>
      </c>
      <c r="I118" s="258">
        <f>'[1]9. Vzdelávanie'!$H$74</f>
        <v>240504.3</v>
      </c>
      <c r="J118" s="258">
        <f>'[1]9. Vzdelávanie'!$I$74</f>
        <v>0</v>
      </c>
      <c r="K118" s="259">
        <f>'[1]9. Vzdelávanie'!$J$74</f>
        <v>0</v>
      </c>
      <c r="L118" s="260">
        <f t="shared" si="236"/>
        <v>194920</v>
      </c>
      <c r="M118" s="258">
        <f>'[1]9. Vzdelávanie'!$K$74</f>
        <v>174920</v>
      </c>
      <c r="N118" s="258">
        <f>'[1]9. Vzdelávanie'!$L$74</f>
        <v>20000</v>
      </c>
      <c r="O118" s="259">
        <f>'[1]9. Vzdelávanie'!$M$74</f>
        <v>0</v>
      </c>
      <c r="P118" s="260">
        <f t="shared" si="237"/>
        <v>190026</v>
      </c>
      <c r="Q118" s="258">
        <f>'[1]9. Vzdelávanie'!$N$74</f>
        <v>170026</v>
      </c>
      <c r="R118" s="258">
        <f>'[1]9. Vzdelávanie'!$O$74</f>
        <v>20000</v>
      </c>
      <c r="S118" s="259">
        <f>'[1]9. Vzdelávanie'!$P$74</f>
        <v>0</v>
      </c>
      <c r="T118" s="260">
        <f t="shared" si="238"/>
        <v>146765</v>
      </c>
      <c r="U118" s="258">
        <f>'[1]9. Vzdelávanie'!$Q$74</f>
        <v>157765</v>
      </c>
      <c r="V118" s="258">
        <f>'[1]9. Vzdelávanie'!$R$74</f>
        <v>-11000</v>
      </c>
      <c r="W118" s="259">
        <f>'[1]9. Vzdelávanie'!$S$74</f>
        <v>0</v>
      </c>
      <c r="X118" s="260">
        <f t="shared" si="239"/>
        <v>336791</v>
      </c>
      <c r="Y118" s="258">
        <f>'[1]9. Vzdelávanie'!$T$74</f>
        <v>327791</v>
      </c>
      <c r="Z118" s="258">
        <f>'[1]9. Vzdelávanie'!$U$74</f>
        <v>9000</v>
      </c>
      <c r="AA118" s="259">
        <f>'[1]9. Vzdelávanie'!$V$74</f>
        <v>0</v>
      </c>
    </row>
    <row r="119" spans="1:27" ht="16.5" thickBot="1" x14ac:dyDescent="0.3">
      <c r="A119" s="124"/>
      <c r="B119" s="348" t="s">
        <v>469</v>
      </c>
      <c r="C119" s="334" t="s">
        <v>470</v>
      </c>
      <c r="D119" s="269">
        <f t="shared" si="234"/>
        <v>388913.99</v>
      </c>
      <c r="E119" s="352">
        <f>'[1]9. Vzdelávanie'!$E$81</f>
        <v>388913.99</v>
      </c>
      <c r="F119" s="352">
        <f>'[1]9. Vzdelávanie'!$F$81</f>
        <v>0</v>
      </c>
      <c r="G119" s="353">
        <f>'[1]9. Vzdelávanie'!$G$81</f>
        <v>0</v>
      </c>
      <c r="H119" s="269">
        <f t="shared" si="235"/>
        <v>520079.17000000004</v>
      </c>
      <c r="I119" s="352">
        <f>'[1]9. Vzdelávanie'!$H$81</f>
        <v>520079.17000000004</v>
      </c>
      <c r="J119" s="352">
        <f>'[1]9. Vzdelávanie'!$I$81</f>
        <v>0</v>
      </c>
      <c r="K119" s="353">
        <f>'[1]9. Vzdelávanie'!$J$81</f>
        <v>0</v>
      </c>
      <c r="L119" s="269">
        <f t="shared" si="236"/>
        <v>744800</v>
      </c>
      <c r="M119" s="352">
        <f>'[1]9. Vzdelávanie'!$K$81</f>
        <v>744800</v>
      </c>
      <c r="N119" s="352">
        <f>'[1]9. Vzdelávanie'!$L$81</f>
        <v>0</v>
      </c>
      <c r="O119" s="353">
        <f>'[1]9. Vzdelávanie'!$M$81</f>
        <v>0</v>
      </c>
      <c r="P119" s="269">
        <f t="shared" si="237"/>
        <v>744800</v>
      </c>
      <c r="Q119" s="352">
        <f>'[1]9. Vzdelávanie'!$N$81</f>
        <v>744800</v>
      </c>
      <c r="R119" s="352">
        <f>'[1]9. Vzdelávanie'!$O$81</f>
        <v>0</v>
      </c>
      <c r="S119" s="353">
        <f>'[1]9. Vzdelávanie'!$P$81</f>
        <v>0</v>
      </c>
      <c r="T119" s="269">
        <f t="shared" si="238"/>
        <v>317658</v>
      </c>
      <c r="U119" s="352">
        <f>'[1]9. Vzdelávanie'!$Q$81</f>
        <v>317658</v>
      </c>
      <c r="V119" s="352">
        <f>'[1]9. Vzdelávanie'!$R$81</f>
        <v>0</v>
      </c>
      <c r="W119" s="353">
        <f>'[1]9. Vzdelávanie'!$S$81</f>
        <v>0</v>
      </c>
      <c r="X119" s="269">
        <f t="shared" si="239"/>
        <v>1062458</v>
      </c>
      <c r="Y119" s="352">
        <f>'[1]9. Vzdelávanie'!$T$81</f>
        <v>1062458</v>
      </c>
      <c r="Z119" s="352">
        <f>'[1]9. Vzdelávanie'!$U$81</f>
        <v>0</v>
      </c>
      <c r="AA119" s="353">
        <f>'[1]9. Vzdelávanie'!$V$81</f>
        <v>0</v>
      </c>
    </row>
    <row r="120" spans="1:27" s="123" customFormat="1" ht="15.75" x14ac:dyDescent="0.25">
      <c r="A120" s="125"/>
      <c r="B120" s="277" t="s">
        <v>296</v>
      </c>
      <c r="C120" s="284"/>
      <c r="D120" s="266">
        <f t="shared" ref="D120:G120" si="240">D121+D122+D130</f>
        <v>304046.42</v>
      </c>
      <c r="E120" s="267">
        <f t="shared" si="240"/>
        <v>283863.36999999994</v>
      </c>
      <c r="F120" s="267">
        <f t="shared" si="240"/>
        <v>20183.05</v>
      </c>
      <c r="G120" s="268">
        <f t="shared" si="240"/>
        <v>0</v>
      </c>
      <c r="H120" s="266">
        <f t="shared" ref="H120:K120" si="241">H121+H122+H130</f>
        <v>1800590.44</v>
      </c>
      <c r="I120" s="267">
        <f t="shared" si="241"/>
        <v>365647.82999999996</v>
      </c>
      <c r="J120" s="267">
        <f t="shared" si="241"/>
        <v>1434942.61</v>
      </c>
      <c r="K120" s="268">
        <f t="shared" si="241"/>
        <v>0</v>
      </c>
      <c r="L120" s="266">
        <f t="shared" ref="L120:O120" si="242">L121+L122+L130</f>
        <v>519600</v>
      </c>
      <c r="M120" s="267">
        <f t="shared" si="242"/>
        <v>434600</v>
      </c>
      <c r="N120" s="267">
        <f t="shared" si="242"/>
        <v>85000</v>
      </c>
      <c r="O120" s="268">
        <f t="shared" si="242"/>
        <v>0</v>
      </c>
      <c r="P120" s="266">
        <f t="shared" ref="P120:S120" si="243">P121+P122+P130</f>
        <v>522600</v>
      </c>
      <c r="Q120" s="267">
        <f t="shared" si="243"/>
        <v>437600</v>
      </c>
      <c r="R120" s="267">
        <f t="shared" si="243"/>
        <v>85000</v>
      </c>
      <c r="S120" s="268">
        <f t="shared" si="243"/>
        <v>0</v>
      </c>
      <c r="T120" s="266">
        <f t="shared" ref="T120:W120" si="244">T121+T122+T130</f>
        <v>16005</v>
      </c>
      <c r="U120" s="267">
        <f t="shared" si="244"/>
        <v>16000</v>
      </c>
      <c r="V120" s="267">
        <f t="shared" si="244"/>
        <v>5</v>
      </c>
      <c r="W120" s="268">
        <f t="shared" si="244"/>
        <v>0</v>
      </c>
      <c r="X120" s="266">
        <f t="shared" ref="X120:AA120" si="245">X121+X122+X130</f>
        <v>538605</v>
      </c>
      <c r="Y120" s="267">
        <f t="shared" si="245"/>
        <v>453600</v>
      </c>
      <c r="Z120" s="267">
        <f t="shared" si="245"/>
        <v>85005</v>
      </c>
      <c r="AA120" s="268">
        <f t="shared" si="245"/>
        <v>0</v>
      </c>
    </row>
    <row r="121" spans="1:27" ht="15.75" x14ac:dyDescent="0.25">
      <c r="B121" s="285" t="s">
        <v>297</v>
      </c>
      <c r="C121" s="274" t="s">
        <v>298</v>
      </c>
      <c r="D121" s="260">
        <f>SUM(E121:G121)</f>
        <v>1332.76</v>
      </c>
      <c r="E121" s="258">
        <f>'[1]10. Šport'!$E$4</f>
        <v>1332.76</v>
      </c>
      <c r="F121" s="258">
        <f>'[1]10. Šport'!$F$4</f>
        <v>0</v>
      </c>
      <c r="G121" s="259">
        <f>'[1]10. Šport'!$G$4</f>
        <v>0</v>
      </c>
      <c r="H121" s="260">
        <f>SUM(I121:K121)</f>
        <v>6980.7199999999993</v>
      </c>
      <c r="I121" s="258">
        <f>'[1]10. Šport'!$H$4</f>
        <v>6980.7199999999993</v>
      </c>
      <c r="J121" s="258">
        <f>'[1]10. Šport'!$I$4</f>
        <v>0</v>
      </c>
      <c r="K121" s="259">
        <f>'[1]10. Šport'!$J$4</f>
        <v>0</v>
      </c>
      <c r="L121" s="260">
        <f>SUM(M121:O121)</f>
        <v>4000</v>
      </c>
      <c r="M121" s="258">
        <f>'[1]10. Šport'!$K$4</f>
        <v>4000</v>
      </c>
      <c r="N121" s="258">
        <f>'[1]10. Šport'!$L$4</f>
        <v>0</v>
      </c>
      <c r="O121" s="259">
        <f>'[1]10. Šport'!$M$4</f>
        <v>0</v>
      </c>
      <c r="P121" s="260">
        <f>SUM(Q121:S121)</f>
        <v>4000</v>
      </c>
      <c r="Q121" s="258">
        <f>'[1]10. Šport'!$N$4</f>
        <v>4000</v>
      </c>
      <c r="R121" s="258">
        <f>'[1]10. Šport'!$O$4</f>
        <v>0</v>
      </c>
      <c r="S121" s="259">
        <f>'[1]10. Šport'!$P$4</f>
        <v>0</v>
      </c>
      <c r="T121" s="260">
        <f>SUM(U121:W121)</f>
        <v>0</v>
      </c>
      <c r="U121" s="258">
        <f>'[1]10. Šport'!$Q$4</f>
        <v>0</v>
      </c>
      <c r="V121" s="258">
        <f>'[1]10. Šport'!$R$4</f>
        <v>0</v>
      </c>
      <c r="W121" s="259">
        <f>'[1]10. Šport'!$S$4</f>
        <v>0</v>
      </c>
      <c r="X121" s="260">
        <f>SUM(Y121:AA121)</f>
        <v>4000</v>
      </c>
      <c r="Y121" s="258">
        <f>'[1]10. Šport'!$T$4</f>
        <v>4000</v>
      </c>
      <c r="Z121" s="258">
        <f>'[1]10. Šport'!$U$4</f>
        <v>0</v>
      </c>
      <c r="AA121" s="259">
        <f>'[1]10. Šport'!$V$4</f>
        <v>0</v>
      </c>
    </row>
    <row r="122" spans="1:27" ht="15.75" x14ac:dyDescent="0.25">
      <c r="B122" s="285" t="s">
        <v>299</v>
      </c>
      <c r="C122" s="274" t="s">
        <v>300</v>
      </c>
      <c r="D122" s="260">
        <f t="shared" ref="D122:G122" si="246">SUM(D123:D129)</f>
        <v>293779.19</v>
      </c>
      <c r="E122" s="258">
        <f t="shared" si="246"/>
        <v>273596.13999999996</v>
      </c>
      <c r="F122" s="258">
        <f t="shared" si="246"/>
        <v>20183.05</v>
      </c>
      <c r="G122" s="259">
        <f t="shared" si="246"/>
        <v>0</v>
      </c>
      <c r="H122" s="260">
        <f t="shared" ref="H122:K122" si="247">SUM(H123:H129)</f>
        <v>1783609.72</v>
      </c>
      <c r="I122" s="258">
        <f t="shared" si="247"/>
        <v>348667.11</v>
      </c>
      <c r="J122" s="258">
        <f t="shared" si="247"/>
        <v>1434942.61</v>
      </c>
      <c r="K122" s="259">
        <f t="shared" si="247"/>
        <v>0</v>
      </c>
      <c r="L122" s="260">
        <f t="shared" ref="L122:O122" si="248">SUM(L123:L129)</f>
        <v>505600</v>
      </c>
      <c r="M122" s="258">
        <f t="shared" si="248"/>
        <v>420600</v>
      </c>
      <c r="N122" s="258">
        <f t="shared" si="248"/>
        <v>85000</v>
      </c>
      <c r="O122" s="259">
        <f t="shared" si="248"/>
        <v>0</v>
      </c>
      <c r="P122" s="260">
        <f t="shared" ref="P122:S122" si="249">SUM(P123:P129)</f>
        <v>508600</v>
      </c>
      <c r="Q122" s="258">
        <f t="shared" si="249"/>
        <v>423600</v>
      </c>
      <c r="R122" s="258">
        <f t="shared" si="249"/>
        <v>85000</v>
      </c>
      <c r="S122" s="259">
        <f t="shared" si="249"/>
        <v>0</v>
      </c>
      <c r="T122" s="260">
        <f t="shared" ref="T122:W122" si="250">SUM(T123:T129)</f>
        <v>16005</v>
      </c>
      <c r="U122" s="258">
        <f t="shared" si="250"/>
        <v>16000</v>
      </c>
      <c r="V122" s="258">
        <f t="shared" si="250"/>
        <v>5</v>
      </c>
      <c r="W122" s="259">
        <f t="shared" si="250"/>
        <v>0</v>
      </c>
      <c r="X122" s="260">
        <f t="shared" ref="X122:AA122" si="251">SUM(X123:X129)</f>
        <v>524605</v>
      </c>
      <c r="Y122" s="258">
        <f t="shared" si="251"/>
        <v>439600</v>
      </c>
      <c r="Z122" s="258">
        <f t="shared" si="251"/>
        <v>85005</v>
      </c>
      <c r="AA122" s="259">
        <f t="shared" si="251"/>
        <v>0</v>
      </c>
    </row>
    <row r="123" spans="1:27" ht="15.75" x14ac:dyDescent="0.25">
      <c r="B123" s="273">
        <v>1</v>
      </c>
      <c r="C123" s="274" t="s">
        <v>301</v>
      </c>
      <c r="D123" s="260">
        <f>SUM(E123:G123)</f>
        <v>21972.060000000005</v>
      </c>
      <c r="E123" s="258">
        <f>'[1]10. Šport'!$E$12</f>
        <v>21972.060000000005</v>
      </c>
      <c r="F123" s="258">
        <f>'[1]10. Šport'!$F$12</f>
        <v>0</v>
      </c>
      <c r="G123" s="259">
        <f>'[1]10. Šport'!$G$12</f>
        <v>0</v>
      </c>
      <c r="H123" s="260">
        <f>SUM(I123:K123)</f>
        <v>55103.93</v>
      </c>
      <c r="I123" s="258">
        <f>'[1]10. Šport'!$H$12</f>
        <v>55103.93</v>
      </c>
      <c r="J123" s="258">
        <f>'[1]10. Šport'!$I$12</f>
        <v>0</v>
      </c>
      <c r="K123" s="259">
        <f>'[1]10. Šport'!$J$12</f>
        <v>0</v>
      </c>
      <c r="L123" s="260">
        <f>SUM(M123:O123)</f>
        <v>73800</v>
      </c>
      <c r="M123" s="258">
        <f>'[1]10. Šport'!$K$12</f>
        <v>73800</v>
      </c>
      <c r="N123" s="258">
        <f>'[1]10. Šport'!$L$12</f>
        <v>0</v>
      </c>
      <c r="O123" s="259">
        <f>'[1]10. Šport'!$M$12</f>
        <v>0</v>
      </c>
      <c r="P123" s="260">
        <f>SUM(Q123:S123)</f>
        <v>73800</v>
      </c>
      <c r="Q123" s="258">
        <f>'[1]10. Šport'!$N$12</f>
        <v>73800</v>
      </c>
      <c r="R123" s="258">
        <f>'[1]10. Šport'!$O$12</f>
        <v>0</v>
      </c>
      <c r="S123" s="259">
        <f>'[1]10. Šport'!$P$12</f>
        <v>0</v>
      </c>
      <c r="T123" s="260">
        <f>SUM(U123:W123)</f>
        <v>0</v>
      </c>
      <c r="U123" s="258">
        <f>'[1]10. Šport'!$Q$12</f>
        <v>0</v>
      </c>
      <c r="V123" s="258">
        <f>'[1]10. Šport'!$R$12</f>
        <v>0</v>
      </c>
      <c r="W123" s="259">
        <f>'[1]10. Šport'!$S$12</f>
        <v>0</v>
      </c>
      <c r="X123" s="260">
        <f>SUM(Y123:AA123)</f>
        <v>73800</v>
      </c>
      <c r="Y123" s="258">
        <f>'[1]10. Šport'!$T$12</f>
        <v>73800</v>
      </c>
      <c r="Z123" s="258">
        <f>'[1]10. Šport'!$U$12</f>
        <v>0</v>
      </c>
      <c r="AA123" s="259">
        <f>'[1]10. Šport'!$V$12</f>
        <v>0</v>
      </c>
    </row>
    <row r="124" spans="1:27" ht="15.75" x14ac:dyDescent="0.25">
      <c r="B124" s="273">
        <v>2</v>
      </c>
      <c r="C124" s="274" t="s">
        <v>302</v>
      </c>
      <c r="D124" s="260">
        <f t="shared" ref="D124:D130" si="252">SUM(E124:G124)</f>
        <v>51888.53</v>
      </c>
      <c r="E124" s="258">
        <f>'[1]10. Šport'!$E$30</f>
        <v>51888.53</v>
      </c>
      <c r="F124" s="258">
        <f>'[1]10. Šport'!$F$30</f>
        <v>0</v>
      </c>
      <c r="G124" s="259">
        <f>'[1]10. Šport'!$G$30</f>
        <v>0</v>
      </c>
      <c r="H124" s="260">
        <f t="shared" ref="H124:H130" si="253">SUM(I124:K124)</f>
        <v>68319.69</v>
      </c>
      <c r="I124" s="258">
        <f>'[1]10. Šport'!$H$30</f>
        <v>68319.69</v>
      </c>
      <c r="J124" s="258">
        <f>'[1]10. Šport'!$I$30</f>
        <v>0</v>
      </c>
      <c r="K124" s="259">
        <f>'[1]10. Šport'!$J$30</f>
        <v>0</v>
      </c>
      <c r="L124" s="260">
        <f t="shared" ref="L124:L130" si="254">SUM(M124:O124)</f>
        <v>80700</v>
      </c>
      <c r="M124" s="258">
        <f>'[1]10. Šport'!$K$30</f>
        <v>80700</v>
      </c>
      <c r="N124" s="258">
        <f>'[1]10. Šport'!$L$30</f>
        <v>0</v>
      </c>
      <c r="O124" s="259">
        <f>'[1]10. Šport'!$M$30</f>
        <v>0</v>
      </c>
      <c r="P124" s="260">
        <f t="shared" ref="P124:P130" si="255">SUM(Q124:S124)</f>
        <v>80700</v>
      </c>
      <c r="Q124" s="258">
        <f>'[1]10. Šport'!$N$30</f>
        <v>80700</v>
      </c>
      <c r="R124" s="258">
        <f>'[1]10. Šport'!$O$30</f>
        <v>0</v>
      </c>
      <c r="S124" s="259">
        <f>'[1]10. Šport'!$P$30</f>
        <v>0</v>
      </c>
      <c r="T124" s="260">
        <f t="shared" ref="T124:T130" si="256">SUM(U124:W124)</f>
        <v>2000</v>
      </c>
      <c r="U124" s="258">
        <f>'[1]10. Šport'!$Q$30</f>
        <v>2000</v>
      </c>
      <c r="V124" s="258">
        <f>'[1]10. Šport'!$R$30</f>
        <v>0</v>
      </c>
      <c r="W124" s="259">
        <f>'[1]10. Šport'!$S$30</f>
        <v>0</v>
      </c>
      <c r="X124" s="260">
        <f t="shared" ref="X124:X130" si="257">SUM(Y124:AA124)</f>
        <v>82700</v>
      </c>
      <c r="Y124" s="258">
        <f>'[1]10. Šport'!$T$30</f>
        <v>82700</v>
      </c>
      <c r="Z124" s="258">
        <f>'[1]10. Šport'!$U$30</f>
        <v>0</v>
      </c>
      <c r="AA124" s="259">
        <f>'[1]10. Šport'!$V$30</f>
        <v>0</v>
      </c>
    </row>
    <row r="125" spans="1:27" ht="15.75" x14ac:dyDescent="0.25">
      <c r="B125" s="273">
        <v>3</v>
      </c>
      <c r="C125" s="274" t="s">
        <v>303</v>
      </c>
      <c r="D125" s="260">
        <f t="shared" si="252"/>
        <v>34292.68</v>
      </c>
      <c r="E125" s="258">
        <f>'[1]10. Šport'!$E$48</f>
        <v>17309.63</v>
      </c>
      <c r="F125" s="258">
        <f>'[1]10. Šport'!$F$48</f>
        <v>16983.05</v>
      </c>
      <c r="G125" s="259">
        <f>'[1]10. Šport'!$G$48</f>
        <v>0</v>
      </c>
      <c r="H125" s="260">
        <f t="shared" si="253"/>
        <v>19827.400000000001</v>
      </c>
      <c r="I125" s="258">
        <f>'[1]10. Šport'!$H$48</f>
        <v>19827.400000000001</v>
      </c>
      <c r="J125" s="258">
        <f>'[1]10. Šport'!$I$48</f>
        <v>0</v>
      </c>
      <c r="K125" s="259">
        <f>'[1]10. Šport'!$J$48</f>
        <v>0</v>
      </c>
      <c r="L125" s="260">
        <f t="shared" si="254"/>
        <v>30300</v>
      </c>
      <c r="M125" s="258">
        <f>'[1]10. Šport'!$K$48</f>
        <v>30300</v>
      </c>
      <c r="N125" s="258">
        <f>'[1]10. Šport'!$L$48</f>
        <v>0</v>
      </c>
      <c r="O125" s="259">
        <f>'[1]10. Šport'!$M$48</f>
        <v>0</v>
      </c>
      <c r="P125" s="260">
        <f t="shared" si="255"/>
        <v>35300</v>
      </c>
      <c r="Q125" s="258">
        <f>'[1]10. Šport'!$N$48</f>
        <v>35300</v>
      </c>
      <c r="R125" s="258">
        <f>'[1]10. Šport'!$O$48</f>
        <v>0</v>
      </c>
      <c r="S125" s="259">
        <f>'[1]10. Šport'!$P$48</f>
        <v>0</v>
      </c>
      <c r="T125" s="260">
        <f t="shared" si="256"/>
        <v>4000</v>
      </c>
      <c r="U125" s="258">
        <f>'[1]10. Šport'!$Q$48</f>
        <v>4000</v>
      </c>
      <c r="V125" s="258">
        <f>'[1]10. Šport'!$R$48</f>
        <v>0</v>
      </c>
      <c r="W125" s="259">
        <f>'[1]10. Šport'!$S$48</f>
        <v>0</v>
      </c>
      <c r="X125" s="260">
        <f t="shared" si="257"/>
        <v>39300</v>
      </c>
      <c r="Y125" s="258">
        <f>'[1]10. Šport'!$T$48</f>
        <v>39300</v>
      </c>
      <c r="Z125" s="258">
        <f>'[1]10. Šport'!$U$48</f>
        <v>0</v>
      </c>
      <c r="AA125" s="259">
        <f>'[1]10. Šport'!$V$48</f>
        <v>0</v>
      </c>
    </row>
    <row r="126" spans="1:27" ht="15.75" x14ac:dyDescent="0.25">
      <c r="B126" s="273">
        <v>4</v>
      </c>
      <c r="C126" s="274" t="s">
        <v>304</v>
      </c>
      <c r="D126" s="260">
        <f t="shared" si="252"/>
        <v>163155.13999999998</v>
      </c>
      <c r="E126" s="258">
        <f>'[1]10. Šport'!$E$58</f>
        <v>159955.13999999998</v>
      </c>
      <c r="F126" s="258">
        <f>'[1]10. Šport'!$F$58</f>
        <v>3200</v>
      </c>
      <c r="G126" s="259">
        <f>'[1]10. Šport'!$G$58</f>
        <v>0</v>
      </c>
      <c r="H126" s="260">
        <f t="shared" si="253"/>
        <v>181088.82</v>
      </c>
      <c r="I126" s="258">
        <f>'[1]10. Šport'!$H$58</f>
        <v>181088.82</v>
      </c>
      <c r="J126" s="258">
        <f>'[1]10. Šport'!$I$58</f>
        <v>0</v>
      </c>
      <c r="K126" s="259">
        <f>'[1]10. Šport'!$J$58</f>
        <v>0</v>
      </c>
      <c r="L126" s="260">
        <f t="shared" si="254"/>
        <v>208900</v>
      </c>
      <c r="M126" s="258">
        <f>'[1]10. Šport'!$K$58</f>
        <v>208900</v>
      </c>
      <c r="N126" s="258">
        <f>'[1]10. Šport'!$L$58</f>
        <v>0</v>
      </c>
      <c r="O126" s="259">
        <f>'[1]10. Šport'!$M$58</f>
        <v>0</v>
      </c>
      <c r="P126" s="260">
        <f t="shared" si="255"/>
        <v>208900</v>
      </c>
      <c r="Q126" s="258">
        <f>'[1]10. Šport'!$N$58</f>
        <v>208900</v>
      </c>
      <c r="R126" s="258">
        <f>'[1]10. Šport'!$O$58</f>
        <v>0</v>
      </c>
      <c r="S126" s="259">
        <f>'[1]10. Šport'!$P$58</f>
        <v>0</v>
      </c>
      <c r="T126" s="260">
        <f t="shared" si="256"/>
        <v>8000</v>
      </c>
      <c r="U126" s="258">
        <f>'[1]10. Šport'!$Q$58</f>
        <v>8000</v>
      </c>
      <c r="V126" s="258">
        <f>'[1]10. Šport'!$R$58</f>
        <v>0</v>
      </c>
      <c r="W126" s="259">
        <f>'[1]10. Šport'!$S$58</f>
        <v>0</v>
      </c>
      <c r="X126" s="260">
        <f t="shared" si="257"/>
        <v>216900</v>
      </c>
      <c r="Y126" s="258">
        <f>'[1]10. Šport'!$T$58</f>
        <v>216900</v>
      </c>
      <c r="Z126" s="258">
        <f>'[1]10. Šport'!$U$58</f>
        <v>0</v>
      </c>
      <c r="AA126" s="259">
        <f>'[1]10. Šport'!$V$58</f>
        <v>0</v>
      </c>
    </row>
    <row r="127" spans="1:27" ht="15.75" x14ac:dyDescent="0.25">
      <c r="B127" s="273">
        <v>5</v>
      </c>
      <c r="C127" s="274" t="s">
        <v>305</v>
      </c>
      <c r="D127" s="260">
        <f t="shared" si="252"/>
        <v>7935.4</v>
      </c>
      <c r="E127" s="258">
        <f>'[1]10. Šport'!$E$79</f>
        <v>7935.4</v>
      </c>
      <c r="F127" s="258">
        <f>'[1]10. Šport'!$F$79</f>
        <v>0</v>
      </c>
      <c r="G127" s="259">
        <f>'[1]10. Šport'!$G$79</f>
        <v>0</v>
      </c>
      <c r="H127" s="260">
        <f t="shared" si="253"/>
        <v>8662.77</v>
      </c>
      <c r="I127" s="258">
        <f>'[1]10. Šport'!$H$79</f>
        <v>8662.77</v>
      </c>
      <c r="J127" s="258">
        <f>'[1]10. Šport'!$I$79</f>
        <v>0</v>
      </c>
      <c r="K127" s="259">
        <f>'[1]10. Šport'!$J$79</f>
        <v>0</v>
      </c>
      <c r="L127" s="260">
        <f t="shared" si="254"/>
        <v>11800</v>
      </c>
      <c r="M127" s="258">
        <f>'[1]10. Šport'!$K$79</f>
        <v>11800</v>
      </c>
      <c r="N127" s="258">
        <f>'[1]10. Šport'!$L$79</f>
        <v>0</v>
      </c>
      <c r="O127" s="259">
        <f>'[1]10. Šport'!$M$79</f>
        <v>0</v>
      </c>
      <c r="P127" s="260">
        <f t="shared" si="255"/>
        <v>11800</v>
      </c>
      <c r="Q127" s="258">
        <f>'[1]10. Šport'!$N$79</f>
        <v>11800</v>
      </c>
      <c r="R127" s="258">
        <f>'[1]10. Šport'!$O$79</f>
        <v>0</v>
      </c>
      <c r="S127" s="259">
        <f>'[1]10. Šport'!$P$79</f>
        <v>0</v>
      </c>
      <c r="T127" s="260">
        <f t="shared" si="256"/>
        <v>0</v>
      </c>
      <c r="U127" s="258">
        <f>'[1]10. Šport'!$Q$79</f>
        <v>0</v>
      </c>
      <c r="V127" s="258">
        <f>'[1]10. Šport'!$R$79</f>
        <v>0</v>
      </c>
      <c r="W127" s="259">
        <f>'[1]10. Šport'!$S$79</f>
        <v>0</v>
      </c>
      <c r="X127" s="260">
        <f t="shared" si="257"/>
        <v>11800</v>
      </c>
      <c r="Y127" s="258">
        <f>'[1]10. Šport'!$T$79</f>
        <v>11800</v>
      </c>
      <c r="Z127" s="258">
        <f>'[1]10. Šport'!$U$79</f>
        <v>0</v>
      </c>
      <c r="AA127" s="259">
        <f>'[1]10. Šport'!$V$79</f>
        <v>0</v>
      </c>
    </row>
    <row r="128" spans="1:27" ht="15.75" x14ac:dyDescent="0.25">
      <c r="B128" s="289">
        <v>6</v>
      </c>
      <c r="C128" s="290" t="s">
        <v>386</v>
      </c>
      <c r="D128" s="260">
        <f t="shared" si="252"/>
        <v>239.93</v>
      </c>
      <c r="E128" s="258">
        <f>'[1]10. Šport'!$E$87</f>
        <v>239.93</v>
      </c>
      <c r="F128" s="258">
        <f>'[1]10. Šport'!$F$87</f>
        <v>0</v>
      </c>
      <c r="G128" s="259">
        <f>'[1]10. Šport'!$G$87</f>
        <v>0</v>
      </c>
      <c r="H128" s="260">
        <f t="shared" si="253"/>
        <v>1440282.37</v>
      </c>
      <c r="I128" s="258">
        <f>'[1]10. Šport'!$H$87</f>
        <v>5339.76</v>
      </c>
      <c r="J128" s="258">
        <f>'[1]10. Šport'!$I$87</f>
        <v>1434942.61</v>
      </c>
      <c r="K128" s="259">
        <f>'[1]10. Šport'!$J$87</f>
        <v>0</v>
      </c>
      <c r="L128" s="260">
        <f t="shared" si="254"/>
        <v>86100</v>
      </c>
      <c r="M128" s="258">
        <f>'[1]10. Šport'!$K$87</f>
        <v>1100</v>
      </c>
      <c r="N128" s="258">
        <f>'[1]10. Šport'!$L$87</f>
        <v>85000</v>
      </c>
      <c r="O128" s="259">
        <f>'[1]10. Šport'!$M$87</f>
        <v>0</v>
      </c>
      <c r="P128" s="260">
        <f t="shared" si="255"/>
        <v>86100</v>
      </c>
      <c r="Q128" s="258">
        <f>'[1]10. Šport'!$N$87</f>
        <v>1100</v>
      </c>
      <c r="R128" s="258">
        <f>'[1]10. Šport'!$O$87</f>
        <v>85000</v>
      </c>
      <c r="S128" s="259">
        <f>'[1]10. Šport'!$P$87</f>
        <v>0</v>
      </c>
      <c r="T128" s="260">
        <f t="shared" si="256"/>
        <v>1005</v>
      </c>
      <c r="U128" s="258">
        <f>'[1]10. Šport'!$Q$87</f>
        <v>1000</v>
      </c>
      <c r="V128" s="258">
        <f>'[1]10. Šport'!$R$87</f>
        <v>5</v>
      </c>
      <c r="W128" s="259">
        <f>'[1]10. Šport'!$S$87</f>
        <v>0</v>
      </c>
      <c r="X128" s="260">
        <f t="shared" si="257"/>
        <v>87105</v>
      </c>
      <c r="Y128" s="258">
        <f>'[1]10. Šport'!$T$87</f>
        <v>2100</v>
      </c>
      <c r="Z128" s="258">
        <f>'[1]10. Šport'!$U$87</f>
        <v>85005</v>
      </c>
      <c r="AA128" s="259">
        <f>'[1]10. Šport'!$V$87</f>
        <v>0</v>
      </c>
    </row>
    <row r="129" spans="2:27" ht="15.75" x14ac:dyDescent="0.25">
      <c r="B129" s="289">
        <v>7</v>
      </c>
      <c r="C129" s="290" t="s">
        <v>467</v>
      </c>
      <c r="D129" s="260">
        <f t="shared" si="252"/>
        <v>14295.45</v>
      </c>
      <c r="E129" s="258">
        <f>'[1]10. Šport'!$E$93</f>
        <v>14295.45</v>
      </c>
      <c r="F129" s="258">
        <f>'[1]10. Šport'!$F$93</f>
        <v>0</v>
      </c>
      <c r="G129" s="259">
        <f>'[1]10. Šport'!$G$93</f>
        <v>0</v>
      </c>
      <c r="H129" s="260">
        <f t="shared" si="253"/>
        <v>10324.74</v>
      </c>
      <c r="I129" s="258">
        <f>'[1]10. Šport'!$H$93</f>
        <v>10324.74</v>
      </c>
      <c r="J129" s="258">
        <f>'[1]10. Šport'!$I$93</f>
        <v>0</v>
      </c>
      <c r="K129" s="259">
        <f>'[1]10. Šport'!$J$93</f>
        <v>0</v>
      </c>
      <c r="L129" s="260">
        <f t="shared" si="254"/>
        <v>14000</v>
      </c>
      <c r="M129" s="258">
        <f>'[1]10. Šport'!$K$93</f>
        <v>14000</v>
      </c>
      <c r="N129" s="258">
        <f>'[1]10. Šport'!$L$93</f>
        <v>0</v>
      </c>
      <c r="O129" s="259">
        <f>'[1]10. Šport'!$M$93</f>
        <v>0</v>
      </c>
      <c r="P129" s="260">
        <f t="shared" si="255"/>
        <v>12000</v>
      </c>
      <c r="Q129" s="258">
        <f>'[1]10. Šport'!$N$93</f>
        <v>12000</v>
      </c>
      <c r="R129" s="258">
        <f>'[1]10. Šport'!$O$93</f>
        <v>0</v>
      </c>
      <c r="S129" s="259">
        <f>'[1]10. Šport'!$P$93</f>
        <v>0</v>
      </c>
      <c r="T129" s="260">
        <f t="shared" si="256"/>
        <v>1000</v>
      </c>
      <c r="U129" s="258">
        <f>'[1]10. Šport'!$Q$93</f>
        <v>1000</v>
      </c>
      <c r="V129" s="258">
        <f>'[1]10. Šport'!$R$93</f>
        <v>0</v>
      </c>
      <c r="W129" s="259">
        <f>'[1]10. Šport'!$S$93</f>
        <v>0</v>
      </c>
      <c r="X129" s="260">
        <f t="shared" si="257"/>
        <v>13000</v>
      </c>
      <c r="Y129" s="258">
        <f>'[1]10. Šport'!$T$93</f>
        <v>13000</v>
      </c>
      <c r="Z129" s="258">
        <f>'[1]10. Šport'!$U$93</f>
        <v>0</v>
      </c>
      <c r="AA129" s="259">
        <f>'[1]10. Šport'!$V$93</f>
        <v>0</v>
      </c>
    </row>
    <row r="130" spans="2:27" ht="16.5" thickBot="1" x14ac:dyDescent="0.3">
      <c r="B130" s="280" t="s">
        <v>306</v>
      </c>
      <c r="C130" s="276" t="s">
        <v>307</v>
      </c>
      <c r="D130" s="269">
        <f t="shared" si="252"/>
        <v>8934.4699999999993</v>
      </c>
      <c r="E130" s="270">
        <f>'[1]10. Šport'!$E$101</f>
        <v>8934.4699999999993</v>
      </c>
      <c r="F130" s="270">
        <f>'[1]10. Šport'!$F$101</f>
        <v>0</v>
      </c>
      <c r="G130" s="303">
        <f>'[1]10. Šport'!$G$101</f>
        <v>0</v>
      </c>
      <c r="H130" s="269">
        <f t="shared" si="253"/>
        <v>10000</v>
      </c>
      <c r="I130" s="270">
        <f>'[1]10. Šport'!$H$101</f>
        <v>10000</v>
      </c>
      <c r="J130" s="270">
        <f>'[1]10. Šport'!$I$101</f>
        <v>0</v>
      </c>
      <c r="K130" s="303">
        <f>'[1]10. Šport'!$J$101</f>
        <v>0</v>
      </c>
      <c r="L130" s="269">
        <f t="shared" si="254"/>
        <v>10000</v>
      </c>
      <c r="M130" s="270">
        <f>'[1]10. Šport'!$K$101</f>
        <v>10000</v>
      </c>
      <c r="N130" s="270">
        <f>'[1]10. Šport'!$L$101</f>
        <v>0</v>
      </c>
      <c r="O130" s="303">
        <f>'[1]10. Šport'!$M$101</f>
        <v>0</v>
      </c>
      <c r="P130" s="269">
        <f t="shared" si="255"/>
        <v>10000</v>
      </c>
      <c r="Q130" s="270">
        <f>'[1]10. Šport'!$N$101</f>
        <v>10000</v>
      </c>
      <c r="R130" s="270">
        <f>'[1]10. Šport'!$O$101</f>
        <v>0</v>
      </c>
      <c r="S130" s="303">
        <f>'[1]10. Šport'!$P$101</f>
        <v>0</v>
      </c>
      <c r="T130" s="269">
        <f t="shared" si="256"/>
        <v>0</v>
      </c>
      <c r="U130" s="270">
        <f>'[1]10. Šport'!$Q$101</f>
        <v>0</v>
      </c>
      <c r="V130" s="270">
        <f>'[1]10. Šport'!$R$101</f>
        <v>0</v>
      </c>
      <c r="W130" s="303">
        <f>'[1]10. Šport'!$S$101</f>
        <v>0</v>
      </c>
      <c r="X130" s="269">
        <f t="shared" si="257"/>
        <v>10000</v>
      </c>
      <c r="Y130" s="270">
        <f>'[1]10. Šport'!$T$101</f>
        <v>10000</v>
      </c>
      <c r="Z130" s="270">
        <f>'[1]10. Šport'!$U$101</f>
        <v>0</v>
      </c>
      <c r="AA130" s="303">
        <f>'[1]10. Šport'!$V$101</f>
        <v>0</v>
      </c>
    </row>
    <row r="131" spans="2:27" s="123" customFormat="1" ht="15.75" x14ac:dyDescent="0.25">
      <c r="B131" s="277" t="s">
        <v>308</v>
      </c>
      <c r="C131" s="284"/>
      <c r="D131" s="266">
        <f t="shared" ref="D131:G131" si="258">D132+D133+D138+D139</f>
        <v>2415169.5500000003</v>
      </c>
      <c r="E131" s="267">
        <f t="shared" si="258"/>
        <v>650235.86999999988</v>
      </c>
      <c r="F131" s="267">
        <f t="shared" si="258"/>
        <v>1760409.97</v>
      </c>
      <c r="G131" s="268">
        <f t="shared" si="258"/>
        <v>4523.71</v>
      </c>
      <c r="H131" s="266">
        <f t="shared" ref="H131:K131" si="259">H132+H133+H138+H139</f>
        <v>2156021.0300000003</v>
      </c>
      <c r="I131" s="267">
        <f t="shared" si="259"/>
        <v>942900.77999999991</v>
      </c>
      <c r="J131" s="267">
        <f t="shared" si="259"/>
        <v>1210007.68</v>
      </c>
      <c r="K131" s="267">
        <f t="shared" si="259"/>
        <v>3112.57</v>
      </c>
      <c r="L131" s="266">
        <f t="shared" ref="L131:O131" si="260">L132+L133+L138+L139</f>
        <v>1470325</v>
      </c>
      <c r="M131" s="267">
        <f t="shared" si="260"/>
        <v>976325</v>
      </c>
      <c r="N131" s="267">
        <f t="shared" si="260"/>
        <v>494000</v>
      </c>
      <c r="O131" s="267">
        <f t="shared" si="260"/>
        <v>0</v>
      </c>
      <c r="P131" s="266">
        <f t="shared" ref="P131:S131" si="261">P132+P133+P138+P139</f>
        <v>1470425</v>
      </c>
      <c r="Q131" s="267">
        <f t="shared" si="261"/>
        <v>976425</v>
      </c>
      <c r="R131" s="267">
        <f t="shared" si="261"/>
        <v>494000</v>
      </c>
      <c r="S131" s="267">
        <f t="shared" si="261"/>
        <v>0</v>
      </c>
      <c r="T131" s="266">
        <f t="shared" ref="T131:W131" si="262">T132+T133+T138+T139</f>
        <v>45310</v>
      </c>
      <c r="U131" s="267">
        <f t="shared" si="262"/>
        <v>45310</v>
      </c>
      <c r="V131" s="267">
        <f t="shared" si="262"/>
        <v>0</v>
      </c>
      <c r="W131" s="267">
        <f t="shared" si="262"/>
        <v>0</v>
      </c>
      <c r="X131" s="266">
        <f t="shared" ref="X131:AA131" si="263">X132+X133+X138+X139</f>
        <v>1515735</v>
      </c>
      <c r="Y131" s="267">
        <f t="shared" si="263"/>
        <v>1021735</v>
      </c>
      <c r="Z131" s="267">
        <f t="shared" si="263"/>
        <v>494000</v>
      </c>
      <c r="AA131" s="267">
        <f t="shared" si="263"/>
        <v>0</v>
      </c>
    </row>
    <row r="132" spans="2:27" ht="15.75" x14ac:dyDescent="0.25">
      <c r="B132" s="285" t="s">
        <v>309</v>
      </c>
      <c r="C132" s="274" t="s">
        <v>310</v>
      </c>
      <c r="D132" s="260">
        <f>SUM(E132:G132)</f>
        <v>12577.740000000002</v>
      </c>
      <c r="E132" s="258">
        <f>'[1]11. Kultúra'!$E$4</f>
        <v>12577.740000000002</v>
      </c>
      <c r="F132" s="258">
        <f>'[1]11. Kultúra'!$F$4</f>
        <v>0</v>
      </c>
      <c r="G132" s="259">
        <f>'[1]11. Kultúra'!$G$4</f>
        <v>0</v>
      </c>
      <c r="H132" s="260">
        <f>SUM(I132:K132)</f>
        <v>18860.29</v>
      </c>
      <c r="I132" s="258">
        <f>'[1]11. Kultúra'!$H$4</f>
        <v>18860.29</v>
      </c>
      <c r="J132" s="258">
        <f>'[1]11. Kultúra'!$I$4</f>
        <v>0</v>
      </c>
      <c r="K132" s="259">
        <f>'[1]11. Kultúra'!$J$4</f>
        <v>0</v>
      </c>
      <c r="L132" s="260">
        <f>SUM(M132:O132)</f>
        <v>15320</v>
      </c>
      <c r="M132" s="258">
        <f>'[1]11. Kultúra'!$K$4</f>
        <v>15320</v>
      </c>
      <c r="N132" s="258">
        <f>'[1]11. Kultúra'!$L$4</f>
        <v>0</v>
      </c>
      <c r="O132" s="259">
        <f>'[1]11. Kultúra'!$M$4</f>
        <v>0</v>
      </c>
      <c r="P132" s="260">
        <f>SUM(Q132:S132)</f>
        <v>15320</v>
      </c>
      <c r="Q132" s="258">
        <f>'[1]11. Kultúra'!$N$4</f>
        <v>15320</v>
      </c>
      <c r="R132" s="258">
        <f>'[1]11. Kultúra'!$O$4</f>
        <v>0</v>
      </c>
      <c r="S132" s="259">
        <f>'[1]11. Kultúra'!$P$4</f>
        <v>0</v>
      </c>
      <c r="T132" s="260">
        <f>SUM(U132:W132)</f>
        <v>510</v>
      </c>
      <c r="U132" s="258">
        <f>'[1]11. Kultúra'!$Q$4</f>
        <v>510</v>
      </c>
      <c r="V132" s="258">
        <f>'[1]11. Kultúra'!$R$4</f>
        <v>0</v>
      </c>
      <c r="W132" s="259">
        <f>'[1]11. Kultúra'!$S$4</f>
        <v>0</v>
      </c>
      <c r="X132" s="260">
        <f>SUM(Y132:AA132)</f>
        <v>15830</v>
      </c>
      <c r="Y132" s="258">
        <f>'[1]11. Kultúra'!$T$4</f>
        <v>15830</v>
      </c>
      <c r="Z132" s="258">
        <f>'[1]11. Kultúra'!$U$4</f>
        <v>0</v>
      </c>
      <c r="AA132" s="259">
        <f>'[1]11. Kultúra'!$V$4</f>
        <v>0</v>
      </c>
    </row>
    <row r="133" spans="2:27" ht="15.75" x14ac:dyDescent="0.25">
      <c r="B133" s="285" t="s">
        <v>311</v>
      </c>
      <c r="C133" s="274" t="s">
        <v>312</v>
      </c>
      <c r="D133" s="260">
        <f t="shared" ref="D133:G133" si="264">SUM(D134:D137)</f>
        <v>2369265.67</v>
      </c>
      <c r="E133" s="258">
        <f t="shared" si="264"/>
        <v>621188.66999999993</v>
      </c>
      <c r="F133" s="258">
        <f t="shared" si="264"/>
        <v>1743553.29</v>
      </c>
      <c r="G133" s="259">
        <f t="shared" si="264"/>
        <v>4523.71</v>
      </c>
      <c r="H133" s="260">
        <f t="shared" ref="H133:K133" si="265">SUM(H134:H137)</f>
        <v>2126126.4900000002</v>
      </c>
      <c r="I133" s="258">
        <f t="shared" si="265"/>
        <v>913006.23999999987</v>
      </c>
      <c r="J133" s="258">
        <f t="shared" si="265"/>
        <v>1210007.68</v>
      </c>
      <c r="K133" s="259">
        <f t="shared" si="265"/>
        <v>3112.57</v>
      </c>
      <c r="L133" s="260">
        <f t="shared" ref="L133:O133" si="266">SUM(L134:L137)</f>
        <v>1445005</v>
      </c>
      <c r="M133" s="258">
        <f t="shared" si="266"/>
        <v>951005</v>
      </c>
      <c r="N133" s="258">
        <f t="shared" si="266"/>
        <v>494000</v>
      </c>
      <c r="O133" s="259">
        <f t="shared" si="266"/>
        <v>0</v>
      </c>
      <c r="P133" s="260">
        <f t="shared" ref="P133:S133" si="267">SUM(P134:P137)</f>
        <v>1445005</v>
      </c>
      <c r="Q133" s="258">
        <f t="shared" si="267"/>
        <v>951005</v>
      </c>
      <c r="R133" s="258">
        <f t="shared" si="267"/>
        <v>494000</v>
      </c>
      <c r="S133" s="259">
        <f t="shared" si="267"/>
        <v>0</v>
      </c>
      <c r="T133" s="260">
        <f t="shared" ref="T133:W133" si="268">SUM(T134:T137)</f>
        <v>44800</v>
      </c>
      <c r="U133" s="258">
        <f t="shared" si="268"/>
        <v>44800</v>
      </c>
      <c r="V133" s="258">
        <f t="shared" si="268"/>
        <v>0</v>
      </c>
      <c r="W133" s="259">
        <f t="shared" si="268"/>
        <v>0</v>
      </c>
      <c r="X133" s="260">
        <f t="shared" ref="X133:AA133" si="269">SUM(X134:X137)</f>
        <v>1489805</v>
      </c>
      <c r="Y133" s="258">
        <f t="shared" si="269"/>
        <v>995805</v>
      </c>
      <c r="Z133" s="258">
        <f t="shared" si="269"/>
        <v>494000</v>
      </c>
      <c r="AA133" s="259">
        <f t="shared" si="269"/>
        <v>0</v>
      </c>
    </row>
    <row r="134" spans="2:27" ht="15.75" x14ac:dyDescent="0.25">
      <c r="B134" s="273">
        <v>1</v>
      </c>
      <c r="C134" s="274" t="s">
        <v>313</v>
      </c>
      <c r="D134" s="260">
        <f>SUM(E134:G134)</f>
        <v>163237.68</v>
      </c>
      <c r="E134" s="258">
        <f>'[1]11. Kultúra'!$E$20</f>
        <v>163237.68</v>
      </c>
      <c r="F134" s="258">
        <f>'[1]11. Kultúra'!$F$20</f>
        <v>0</v>
      </c>
      <c r="G134" s="259">
        <f>'[1]11. Kultúra'!$G$20</f>
        <v>0</v>
      </c>
      <c r="H134" s="260">
        <f>SUM(I134:K134)</f>
        <v>170366.39</v>
      </c>
      <c r="I134" s="258">
        <f>'[1]11. Kultúra'!$H$20</f>
        <v>170366.39</v>
      </c>
      <c r="J134" s="258">
        <f>'[1]11. Kultúra'!$I$20</f>
        <v>0</v>
      </c>
      <c r="K134" s="259">
        <f>'[1]11. Kultúra'!$J$20</f>
        <v>0</v>
      </c>
      <c r="L134" s="260">
        <f>SUM(M134:O134)</f>
        <v>182500</v>
      </c>
      <c r="M134" s="258">
        <f>'[1]11. Kultúra'!$K$20</f>
        <v>182500</v>
      </c>
      <c r="N134" s="258">
        <f>'[1]11. Kultúra'!$L$20</f>
        <v>0</v>
      </c>
      <c r="O134" s="259">
        <f>'[1]11. Kultúra'!$M$20</f>
        <v>0</v>
      </c>
      <c r="P134" s="260">
        <f>SUM(Q134:S134)</f>
        <v>182500</v>
      </c>
      <c r="Q134" s="258">
        <f>'[1]11. Kultúra'!$N$20</f>
        <v>182500</v>
      </c>
      <c r="R134" s="258">
        <f>'[1]11. Kultúra'!$O$20</f>
        <v>0</v>
      </c>
      <c r="S134" s="259">
        <f>'[1]11. Kultúra'!$P$20</f>
        <v>0</v>
      </c>
      <c r="T134" s="260">
        <f>SUM(U134:W134)</f>
        <v>17000</v>
      </c>
      <c r="U134" s="258">
        <f>'[1]11. Kultúra'!$Q$20</f>
        <v>17000</v>
      </c>
      <c r="V134" s="258">
        <f>'[1]11. Kultúra'!$R$20</f>
        <v>0</v>
      </c>
      <c r="W134" s="259">
        <f>'[1]11. Kultúra'!$S$20</f>
        <v>0</v>
      </c>
      <c r="X134" s="260">
        <f>SUM(Y134:AA134)</f>
        <v>199500</v>
      </c>
      <c r="Y134" s="258">
        <f>'[1]11. Kultúra'!$T$20</f>
        <v>199500</v>
      </c>
      <c r="Z134" s="258">
        <f>'[1]11. Kultúra'!$U$20</f>
        <v>0</v>
      </c>
      <c r="AA134" s="259">
        <f>'[1]11. Kultúra'!$V$20</f>
        <v>0</v>
      </c>
    </row>
    <row r="135" spans="2:27" ht="15.75" x14ac:dyDescent="0.25">
      <c r="B135" s="273">
        <v>2</v>
      </c>
      <c r="C135" s="274" t="s">
        <v>314</v>
      </c>
      <c r="D135" s="260">
        <f t="shared" ref="D135:D139" si="270">SUM(E135:G135)</f>
        <v>4675.01</v>
      </c>
      <c r="E135" s="258">
        <f>'[1]11. Kultúra'!$E$27</f>
        <v>4675.01</v>
      </c>
      <c r="F135" s="258">
        <f>'[1]11. Kultúra'!$F$27</f>
        <v>0</v>
      </c>
      <c r="G135" s="259">
        <f>'[1]11. Kultúra'!$G$27</f>
        <v>0</v>
      </c>
      <c r="H135" s="260">
        <f t="shared" ref="H135:H139" si="271">SUM(I135:K135)</f>
        <v>1547.4299999999998</v>
      </c>
      <c r="I135" s="258">
        <f>'[1]11. Kultúra'!$H$27</f>
        <v>1547.4299999999998</v>
      </c>
      <c r="J135" s="258">
        <f>'[1]11. Kultúra'!$I$27</f>
        <v>0</v>
      </c>
      <c r="K135" s="259">
        <f>'[1]11. Kultúra'!$J$27</f>
        <v>0</v>
      </c>
      <c r="L135" s="260">
        <f t="shared" ref="L135:L139" si="272">SUM(M135:O135)</f>
        <v>4250</v>
      </c>
      <c r="M135" s="258">
        <f>'[1]11. Kultúra'!$K$27</f>
        <v>4250</v>
      </c>
      <c r="N135" s="258">
        <f>'[1]11. Kultúra'!$L$27</f>
        <v>0</v>
      </c>
      <c r="O135" s="259">
        <f>'[1]11. Kultúra'!$M$27</f>
        <v>0</v>
      </c>
      <c r="P135" s="260">
        <f t="shared" ref="P135:P139" si="273">SUM(Q135:S135)</f>
        <v>3750</v>
      </c>
      <c r="Q135" s="258">
        <f>'[1]11. Kultúra'!$N$27</f>
        <v>3750</v>
      </c>
      <c r="R135" s="258">
        <f>'[1]11. Kultúra'!$O$27</f>
        <v>0</v>
      </c>
      <c r="S135" s="259">
        <f>'[1]11. Kultúra'!$P$27</f>
        <v>0</v>
      </c>
      <c r="T135" s="260">
        <f t="shared" ref="T135:T139" si="274">SUM(U135:W135)</f>
        <v>0</v>
      </c>
      <c r="U135" s="258">
        <f>'[1]11. Kultúra'!$Q$27</f>
        <v>0</v>
      </c>
      <c r="V135" s="258">
        <f>'[1]11. Kultúra'!$R$27</f>
        <v>0</v>
      </c>
      <c r="W135" s="259">
        <f>'[1]11. Kultúra'!$S$27</f>
        <v>0</v>
      </c>
      <c r="X135" s="260">
        <f t="shared" ref="X135:X139" si="275">SUM(Y135:AA135)</f>
        <v>3750</v>
      </c>
      <c r="Y135" s="258">
        <f>'[1]11. Kultúra'!$T$27</f>
        <v>3750</v>
      </c>
      <c r="Z135" s="258">
        <f>'[1]11. Kultúra'!$U$27</f>
        <v>0</v>
      </c>
      <c r="AA135" s="259">
        <f>'[1]11. Kultúra'!$V$27</f>
        <v>0</v>
      </c>
    </row>
    <row r="136" spans="2:27" ht="15.75" x14ac:dyDescent="0.25">
      <c r="B136" s="273">
        <v>3</v>
      </c>
      <c r="C136" s="274" t="s">
        <v>315</v>
      </c>
      <c r="D136" s="260">
        <f t="shared" si="270"/>
        <v>2193720.52</v>
      </c>
      <c r="E136" s="258">
        <f>'[1]11. Kultúra'!$E$37</f>
        <v>445643.5199999999</v>
      </c>
      <c r="F136" s="258">
        <f>'[1]11. Kultúra'!$F$37</f>
        <v>1743553.29</v>
      </c>
      <c r="G136" s="259">
        <f>'[1]11. Kultúra'!$G$37</f>
        <v>4523.71</v>
      </c>
      <c r="H136" s="260">
        <f t="shared" si="271"/>
        <v>1945466.53</v>
      </c>
      <c r="I136" s="258">
        <f>'[1]11. Kultúra'!$H$37</f>
        <v>732346.27999999991</v>
      </c>
      <c r="J136" s="258">
        <f>'[1]11. Kultúra'!$I$37</f>
        <v>1210007.68</v>
      </c>
      <c r="K136" s="259">
        <f>'[1]11. Kultúra'!$J$37</f>
        <v>3112.57</v>
      </c>
      <c r="L136" s="260">
        <f t="shared" si="272"/>
        <v>1243435</v>
      </c>
      <c r="M136" s="258">
        <f>'[1]11. Kultúra'!$K$37</f>
        <v>749435</v>
      </c>
      <c r="N136" s="258">
        <f>'[1]11. Kultúra'!$L$37</f>
        <v>494000</v>
      </c>
      <c r="O136" s="259">
        <f>'[1]11. Kultúra'!$M$37</f>
        <v>0</v>
      </c>
      <c r="P136" s="260">
        <f t="shared" si="273"/>
        <v>1243606</v>
      </c>
      <c r="Q136" s="258">
        <f>'[1]11. Kultúra'!$N$37</f>
        <v>749606</v>
      </c>
      <c r="R136" s="258">
        <f>'[1]11. Kultúra'!$O$37</f>
        <v>494000</v>
      </c>
      <c r="S136" s="259">
        <f>'[1]11. Kultúra'!$P$37</f>
        <v>0</v>
      </c>
      <c r="T136" s="260">
        <f t="shared" si="274"/>
        <v>25800</v>
      </c>
      <c r="U136" s="258">
        <f>'[1]11. Kultúra'!$Q$37</f>
        <v>25800</v>
      </c>
      <c r="V136" s="258">
        <f>'[1]11. Kultúra'!$R$37</f>
        <v>0</v>
      </c>
      <c r="W136" s="259">
        <f>'[1]11. Kultúra'!$S$37</f>
        <v>0</v>
      </c>
      <c r="X136" s="260">
        <f t="shared" si="275"/>
        <v>1269406</v>
      </c>
      <c r="Y136" s="258">
        <f>'[1]11. Kultúra'!$T$37</f>
        <v>775406</v>
      </c>
      <c r="Z136" s="258">
        <f>'[1]11. Kultúra'!$U$37</f>
        <v>494000</v>
      </c>
      <c r="AA136" s="259">
        <f>'[1]11. Kultúra'!$V$37</f>
        <v>0</v>
      </c>
    </row>
    <row r="137" spans="2:27" ht="15.75" x14ac:dyDescent="0.25">
      <c r="B137" s="273">
        <v>4</v>
      </c>
      <c r="C137" s="274" t="s">
        <v>316</v>
      </c>
      <c r="D137" s="260">
        <f t="shared" si="270"/>
        <v>7632.46</v>
      </c>
      <c r="E137" s="258">
        <f>'[1]11. Kultúra'!$E$122</f>
        <v>7632.46</v>
      </c>
      <c r="F137" s="258">
        <f>'[1]11. Kultúra'!$F$122</f>
        <v>0</v>
      </c>
      <c r="G137" s="259">
        <f>'[1]11. Kultúra'!$G$122</f>
        <v>0</v>
      </c>
      <c r="H137" s="260">
        <f t="shared" si="271"/>
        <v>8746.14</v>
      </c>
      <c r="I137" s="258">
        <f>'[1]11. Kultúra'!$H$122</f>
        <v>8746.14</v>
      </c>
      <c r="J137" s="258">
        <f>'[1]11. Kultúra'!$I$122</f>
        <v>0</v>
      </c>
      <c r="K137" s="259">
        <f>'[1]11. Kultúra'!$J$122</f>
        <v>0</v>
      </c>
      <c r="L137" s="260">
        <f t="shared" si="272"/>
        <v>14820</v>
      </c>
      <c r="M137" s="258">
        <f>'[1]11. Kultúra'!$K$122</f>
        <v>14820</v>
      </c>
      <c r="N137" s="258">
        <f>'[1]11. Kultúra'!$L$122</f>
        <v>0</v>
      </c>
      <c r="O137" s="259">
        <f>'[1]11. Kultúra'!$M$122</f>
        <v>0</v>
      </c>
      <c r="P137" s="260">
        <f t="shared" si="273"/>
        <v>15149</v>
      </c>
      <c r="Q137" s="258">
        <f>'[1]11. Kultúra'!$N$122</f>
        <v>15149</v>
      </c>
      <c r="R137" s="258">
        <f>'[1]11. Kultúra'!$O$122</f>
        <v>0</v>
      </c>
      <c r="S137" s="259">
        <f>'[1]11. Kultúra'!$P$122</f>
        <v>0</v>
      </c>
      <c r="T137" s="260">
        <f t="shared" si="274"/>
        <v>2000</v>
      </c>
      <c r="U137" s="258">
        <f>'[1]11. Kultúra'!$Q$122</f>
        <v>2000</v>
      </c>
      <c r="V137" s="258">
        <f>'[1]11. Kultúra'!$R$122</f>
        <v>0</v>
      </c>
      <c r="W137" s="259">
        <f>'[1]11. Kultúra'!$S$122</f>
        <v>0</v>
      </c>
      <c r="X137" s="260">
        <f t="shared" si="275"/>
        <v>17149</v>
      </c>
      <c r="Y137" s="258">
        <f>'[1]11. Kultúra'!$T$122</f>
        <v>17149</v>
      </c>
      <c r="Z137" s="258">
        <f>'[1]11. Kultúra'!$U$122</f>
        <v>0</v>
      </c>
      <c r="AA137" s="259">
        <f>'[1]11. Kultúra'!$V$122</f>
        <v>0</v>
      </c>
    </row>
    <row r="138" spans="2:27" ht="15.75" x14ac:dyDescent="0.25">
      <c r="B138" s="285" t="s">
        <v>317</v>
      </c>
      <c r="C138" s="274" t="s">
        <v>318</v>
      </c>
      <c r="D138" s="260">
        <f t="shared" si="270"/>
        <v>25572.14</v>
      </c>
      <c r="E138" s="258">
        <f>'[1]11. Kultúra'!$E$135</f>
        <v>8715.4599999999991</v>
      </c>
      <c r="F138" s="258">
        <f>'[1]11. Kultúra'!$F$135</f>
        <v>16856.68</v>
      </c>
      <c r="G138" s="259">
        <f>'[1]11. Kultúra'!$G$135</f>
        <v>0</v>
      </c>
      <c r="H138" s="260">
        <f t="shared" si="271"/>
        <v>1050</v>
      </c>
      <c r="I138" s="258">
        <f>'[1]11. Kultúra'!$H$135</f>
        <v>1050</v>
      </c>
      <c r="J138" s="258">
        <f>'[1]11. Kultúra'!$I$135</f>
        <v>0</v>
      </c>
      <c r="K138" s="259">
        <f>'[1]11. Kultúra'!$J$135</f>
        <v>0</v>
      </c>
      <c r="L138" s="260">
        <f t="shared" si="272"/>
        <v>0</v>
      </c>
      <c r="M138" s="258">
        <f>'[1]11. Kultúra'!$K$135</f>
        <v>0</v>
      </c>
      <c r="N138" s="258">
        <f>'[1]11. Kultúra'!$L$135</f>
        <v>0</v>
      </c>
      <c r="O138" s="259">
        <f>'[1]11. Kultúra'!$M$135</f>
        <v>0</v>
      </c>
      <c r="P138" s="260">
        <f t="shared" si="273"/>
        <v>100</v>
      </c>
      <c r="Q138" s="258">
        <f>'[1]11. Kultúra'!$N$135</f>
        <v>100</v>
      </c>
      <c r="R138" s="258">
        <f>'[1]11. Kultúra'!$O$135</f>
        <v>0</v>
      </c>
      <c r="S138" s="259">
        <f>'[1]11. Kultúra'!$P$135</f>
        <v>0</v>
      </c>
      <c r="T138" s="260">
        <f t="shared" si="274"/>
        <v>0</v>
      </c>
      <c r="U138" s="258">
        <f>'[1]11. Kultúra'!$Q$135</f>
        <v>0</v>
      </c>
      <c r="V138" s="258">
        <f>'[1]11. Kultúra'!$R$135</f>
        <v>0</v>
      </c>
      <c r="W138" s="259">
        <f>'[1]11. Kultúra'!$S$135</f>
        <v>0</v>
      </c>
      <c r="X138" s="260">
        <f t="shared" si="275"/>
        <v>100</v>
      </c>
      <c r="Y138" s="258">
        <f>'[1]11. Kultúra'!$T$135</f>
        <v>100</v>
      </c>
      <c r="Z138" s="258">
        <f>'[1]11. Kultúra'!$U$135</f>
        <v>0</v>
      </c>
      <c r="AA138" s="259">
        <f>'[1]11. Kultúra'!$V$135</f>
        <v>0</v>
      </c>
    </row>
    <row r="139" spans="2:27" ht="16.5" thickBot="1" x14ac:dyDescent="0.3">
      <c r="B139" s="280" t="s">
        <v>319</v>
      </c>
      <c r="C139" s="276" t="s">
        <v>320</v>
      </c>
      <c r="D139" s="269">
        <f t="shared" si="270"/>
        <v>7754</v>
      </c>
      <c r="E139" s="336">
        <f>'[1]11. Kultúra'!$E$138</f>
        <v>7754</v>
      </c>
      <c r="F139" s="336">
        <f>'[1]11. Kultúra'!$F$138</f>
        <v>0</v>
      </c>
      <c r="G139" s="337">
        <f>'[1]11. Kultúra'!$G$138</f>
        <v>0</v>
      </c>
      <c r="H139" s="269">
        <f t="shared" si="271"/>
        <v>9984.25</v>
      </c>
      <c r="I139" s="336">
        <f>'[1]11. Kultúra'!$H$138</f>
        <v>9984.25</v>
      </c>
      <c r="J139" s="336">
        <f>'[1]11. Kultúra'!$I$138</f>
        <v>0</v>
      </c>
      <c r="K139" s="337">
        <f>'[1]11. Kultúra'!$J$138</f>
        <v>0</v>
      </c>
      <c r="L139" s="269">
        <f t="shared" si="272"/>
        <v>10000</v>
      </c>
      <c r="M139" s="336">
        <f>'[1]11. Kultúra'!$K$138</f>
        <v>10000</v>
      </c>
      <c r="N139" s="336">
        <f>'[1]11. Kultúra'!$L$138</f>
        <v>0</v>
      </c>
      <c r="O139" s="337">
        <f>'[1]11. Kultúra'!$M$138</f>
        <v>0</v>
      </c>
      <c r="P139" s="269">
        <f t="shared" si="273"/>
        <v>10000</v>
      </c>
      <c r="Q139" s="336">
        <f>'[1]11. Kultúra'!$N$138</f>
        <v>10000</v>
      </c>
      <c r="R139" s="336">
        <f>'[1]11. Kultúra'!$O$138</f>
        <v>0</v>
      </c>
      <c r="S139" s="337">
        <f>'[1]11. Kultúra'!$P$138</f>
        <v>0</v>
      </c>
      <c r="T139" s="269">
        <f t="shared" si="274"/>
        <v>0</v>
      </c>
      <c r="U139" s="336">
        <f>'[1]11. Kultúra'!$Q$138</f>
        <v>0</v>
      </c>
      <c r="V139" s="336">
        <f>'[1]11. Kultúra'!$R$138</f>
        <v>0</v>
      </c>
      <c r="W139" s="337">
        <f>'[1]11. Kultúra'!$S$138</f>
        <v>0</v>
      </c>
      <c r="X139" s="269">
        <f t="shared" si="275"/>
        <v>10000</v>
      </c>
      <c r="Y139" s="336">
        <f>'[1]11. Kultúra'!$T$138</f>
        <v>10000</v>
      </c>
      <c r="Z139" s="336">
        <f>'[1]11. Kultúra'!$U$138</f>
        <v>0</v>
      </c>
      <c r="AA139" s="337">
        <f>'[1]11. Kultúra'!$V$138</f>
        <v>0</v>
      </c>
    </row>
    <row r="140" spans="2:27" s="123" customFormat="1" ht="15.75" x14ac:dyDescent="0.25">
      <c r="B140" s="277" t="s">
        <v>321</v>
      </c>
      <c r="C140" s="284"/>
      <c r="D140" s="266">
        <f t="shared" ref="D140:G140" si="276">D141+D146+D147+D148+D149+D150+D151</f>
        <v>499582.73000000004</v>
      </c>
      <c r="E140" s="267">
        <f t="shared" si="276"/>
        <v>452222.81000000006</v>
      </c>
      <c r="F140" s="267">
        <f t="shared" si="276"/>
        <v>47359.92</v>
      </c>
      <c r="G140" s="268">
        <f t="shared" si="276"/>
        <v>0</v>
      </c>
      <c r="H140" s="266">
        <f t="shared" ref="H140:K140" si="277">H141+H146+H147+H148+H149+H150+H151</f>
        <v>437564.95</v>
      </c>
      <c r="I140" s="267">
        <f t="shared" si="277"/>
        <v>407333.66</v>
      </c>
      <c r="J140" s="267">
        <f t="shared" si="277"/>
        <v>30231.29</v>
      </c>
      <c r="K140" s="268">
        <f t="shared" si="277"/>
        <v>0</v>
      </c>
      <c r="L140" s="266">
        <f t="shared" ref="L140:O140" si="278">L141+L146+L147+L148+L149+L150+L151</f>
        <v>1437160</v>
      </c>
      <c r="M140" s="267">
        <f t="shared" si="278"/>
        <v>465660</v>
      </c>
      <c r="N140" s="267">
        <f t="shared" si="278"/>
        <v>971500</v>
      </c>
      <c r="O140" s="268">
        <f t="shared" si="278"/>
        <v>0</v>
      </c>
      <c r="P140" s="266">
        <f t="shared" ref="P140:S140" si="279">P141+P146+P147+P148+P149+P150+P151</f>
        <v>1439960</v>
      </c>
      <c r="Q140" s="267">
        <f t="shared" si="279"/>
        <v>468460</v>
      </c>
      <c r="R140" s="267">
        <f t="shared" si="279"/>
        <v>971500</v>
      </c>
      <c r="S140" s="268">
        <f t="shared" si="279"/>
        <v>0</v>
      </c>
      <c r="T140" s="266">
        <f t="shared" ref="T140:W140" si="280">T141+T146+T147+T148+T149+T150+T151</f>
        <v>58270</v>
      </c>
      <c r="U140" s="267">
        <f t="shared" si="280"/>
        <v>47110</v>
      </c>
      <c r="V140" s="267">
        <f t="shared" si="280"/>
        <v>11160</v>
      </c>
      <c r="W140" s="268">
        <f t="shared" si="280"/>
        <v>0</v>
      </c>
      <c r="X140" s="266">
        <f t="shared" ref="X140:AA140" si="281">X141+X146+X147+X148+X149+X150+X151</f>
        <v>1498230</v>
      </c>
      <c r="Y140" s="267">
        <f t="shared" si="281"/>
        <v>515570</v>
      </c>
      <c r="Z140" s="267">
        <f t="shared" si="281"/>
        <v>982660</v>
      </c>
      <c r="AA140" s="268">
        <f t="shared" si="281"/>
        <v>0</v>
      </c>
    </row>
    <row r="141" spans="2:27" ht="15.75" x14ac:dyDescent="0.25">
      <c r="B141" s="285" t="s">
        <v>322</v>
      </c>
      <c r="C141" s="274" t="s">
        <v>323</v>
      </c>
      <c r="D141" s="260">
        <f>SUM(D142:D145)</f>
        <v>364573.52</v>
      </c>
      <c r="E141" s="258">
        <f t="shared" ref="E141:G141" si="282">SUM(E142:E145)</f>
        <v>364573.52</v>
      </c>
      <c r="F141" s="258">
        <f t="shared" si="282"/>
        <v>0</v>
      </c>
      <c r="G141" s="259">
        <f t="shared" si="282"/>
        <v>0</v>
      </c>
      <c r="H141" s="260">
        <f>SUM(H142:H145)</f>
        <v>343552.64999999997</v>
      </c>
      <c r="I141" s="258">
        <f t="shared" ref="I141:K141" si="283">SUM(I142:I145)</f>
        <v>332744.50999999995</v>
      </c>
      <c r="J141" s="258">
        <f t="shared" si="283"/>
        <v>10808.14</v>
      </c>
      <c r="K141" s="259">
        <f t="shared" si="283"/>
        <v>0</v>
      </c>
      <c r="L141" s="260">
        <f>SUM(L142:L145)</f>
        <v>1274800</v>
      </c>
      <c r="M141" s="258">
        <f t="shared" ref="M141:O141" si="284">SUM(M142:M145)</f>
        <v>369800</v>
      </c>
      <c r="N141" s="258">
        <f t="shared" si="284"/>
        <v>905000</v>
      </c>
      <c r="O141" s="259">
        <f t="shared" si="284"/>
        <v>0</v>
      </c>
      <c r="P141" s="260">
        <f>SUM(P142:P145)</f>
        <v>1277600</v>
      </c>
      <c r="Q141" s="258">
        <f t="shared" ref="Q141:S141" si="285">SUM(Q142:Q145)</f>
        <v>372600</v>
      </c>
      <c r="R141" s="258">
        <f t="shared" si="285"/>
        <v>905000</v>
      </c>
      <c r="S141" s="259">
        <f t="shared" si="285"/>
        <v>0</v>
      </c>
      <c r="T141" s="260">
        <f>SUM(T142:T145)</f>
        <v>50270</v>
      </c>
      <c r="U141" s="258">
        <f t="shared" ref="U141:W141" si="286">SUM(U142:U145)</f>
        <v>43610</v>
      </c>
      <c r="V141" s="258">
        <f t="shared" si="286"/>
        <v>6660</v>
      </c>
      <c r="W141" s="259">
        <f t="shared" si="286"/>
        <v>0</v>
      </c>
      <c r="X141" s="260">
        <f>SUM(X142:X145)</f>
        <v>1327870</v>
      </c>
      <c r="Y141" s="258">
        <f t="shared" ref="Y141:AA141" si="287">SUM(Y142:Y145)</f>
        <v>416210</v>
      </c>
      <c r="Z141" s="258">
        <f t="shared" si="287"/>
        <v>911660</v>
      </c>
      <c r="AA141" s="259">
        <f t="shared" si="287"/>
        <v>0</v>
      </c>
    </row>
    <row r="142" spans="2:27" ht="15.75" x14ac:dyDescent="0.25">
      <c r="B142" s="273">
        <v>1</v>
      </c>
      <c r="C142" s="274" t="s">
        <v>324</v>
      </c>
      <c r="D142" s="260">
        <f>SUM(E142:G142)</f>
        <v>362443.59</v>
      </c>
      <c r="E142" s="258">
        <f>'[1]12. Prostredie pre život'!$E$5</f>
        <v>362443.59</v>
      </c>
      <c r="F142" s="258">
        <f>'[1]12. Prostredie pre život'!$F$5</f>
        <v>0</v>
      </c>
      <c r="G142" s="259">
        <f>'[1]12. Prostredie pre život'!$G$5</f>
        <v>0</v>
      </c>
      <c r="H142" s="260">
        <f>SUM(I142:K142)</f>
        <v>336633.60000000003</v>
      </c>
      <c r="I142" s="258">
        <f>'[1]12. Prostredie pre život'!$H$5</f>
        <v>325825.46000000002</v>
      </c>
      <c r="J142" s="258">
        <f>'[1]12. Prostredie pre život'!$I$5</f>
        <v>10808.14</v>
      </c>
      <c r="K142" s="259">
        <f>'[1]12. Prostredie pre život'!$J$5</f>
        <v>0</v>
      </c>
      <c r="L142" s="260">
        <f>SUM(M142:O142)</f>
        <v>1268000</v>
      </c>
      <c r="M142" s="258">
        <f>'[1]12. Prostredie pre život'!$K$5</f>
        <v>363000</v>
      </c>
      <c r="N142" s="258">
        <f>'[1]12. Prostredie pre život'!$L$5</f>
        <v>905000</v>
      </c>
      <c r="O142" s="259">
        <f>'[1]12. Prostredie pre život'!$M$5</f>
        <v>0</v>
      </c>
      <c r="P142" s="260">
        <f>SUM(Q142:S142)</f>
        <v>1268000</v>
      </c>
      <c r="Q142" s="258">
        <f>'[1]12. Prostredie pre život'!$N$5</f>
        <v>363000</v>
      </c>
      <c r="R142" s="258">
        <f>'[1]12. Prostredie pre život'!$O$5</f>
        <v>905000</v>
      </c>
      <c r="S142" s="259">
        <f>'[1]12. Prostredie pre život'!$P$5</f>
        <v>0</v>
      </c>
      <c r="T142" s="260">
        <f>SUM(U142:W142)</f>
        <v>46270</v>
      </c>
      <c r="U142" s="258">
        <f>'[1]12. Prostredie pre život'!$Q$5</f>
        <v>39610</v>
      </c>
      <c r="V142" s="258">
        <f>'[1]12. Prostredie pre život'!$R$5</f>
        <v>6660</v>
      </c>
      <c r="W142" s="259">
        <f>'[1]12. Prostredie pre život'!$S$5</f>
        <v>0</v>
      </c>
      <c r="X142" s="260">
        <f>SUM(Y142:AA142)</f>
        <v>1314270</v>
      </c>
      <c r="Y142" s="258">
        <f>'[1]12. Prostredie pre život'!$T$5</f>
        <v>402610</v>
      </c>
      <c r="Z142" s="258">
        <f>'[1]12. Prostredie pre život'!$U$5</f>
        <v>911660</v>
      </c>
      <c r="AA142" s="259">
        <f>'[1]12. Prostredie pre život'!$V$5</f>
        <v>0</v>
      </c>
    </row>
    <row r="143" spans="2:27" ht="15.75" x14ac:dyDescent="0.25">
      <c r="B143" s="273">
        <v>2</v>
      </c>
      <c r="C143" s="274" t="s">
        <v>325</v>
      </c>
      <c r="D143" s="260">
        <f t="shared" ref="D143:D151" si="288">SUM(E143:G143)</f>
        <v>800</v>
      </c>
      <c r="E143" s="258">
        <f>'[1]12. Prostredie pre život'!$E$22</f>
        <v>800</v>
      </c>
      <c r="F143" s="258">
        <f>'[1]12. Prostredie pre život'!$F$22</f>
        <v>0</v>
      </c>
      <c r="G143" s="259">
        <f>'[1]12. Prostredie pre život'!$G$22</f>
        <v>0</v>
      </c>
      <c r="H143" s="260">
        <f t="shared" ref="H143:H151" si="289">SUM(I143:K143)</f>
        <v>5989.1</v>
      </c>
      <c r="I143" s="258">
        <f>'[1]12. Prostredie pre život'!$H$22</f>
        <v>5989.1</v>
      </c>
      <c r="J143" s="258">
        <f>'[1]12. Prostredie pre život'!$I$22</f>
        <v>0</v>
      </c>
      <c r="K143" s="259">
        <f>'[1]12. Prostredie pre život'!$J$22</f>
        <v>0</v>
      </c>
      <c r="L143" s="260">
        <f t="shared" ref="L143:L151" si="290">SUM(M143:O143)</f>
        <v>5300</v>
      </c>
      <c r="M143" s="258">
        <f>'[1]12. Prostredie pre život'!$K$22</f>
        <v>5300</v>
      </c>
      <c r="N143" s="258">
        <f>'[1]12. Prostredie pre život'!$L$22</f>
        <v>0</v>
      </c>
      <c r="O143" s="259">
        <f>'[1]12. Prostredie pre život'!$M$22</f>
        <v>0</v>
      </c>
      <c r="P143" s="260">
        <f t="shared" ref="P143:P151" si="291">SUM(Q143:S143)</f>
        <v>6100</v>
      </c>
      <c r="Q143" s="258">
        <f>'[1]12. Prostredie pre život'!$N$22</f>
        <v>6100</v>
      </c>
      <c r="R143" s="258">
        <f>'[1]12. Prostredie pre život'!$O$22</f>
        <v>0</v>
      </c>
      <c r="S143" s="259">
        <f>'[1]12. Prostredie pre život'!$P$22</f>
        <v>0</v>
      </c>
      <c r="T143" s="260">
        <f t="shared" ref="T143:T151" si="292">SUM(U143:W143)</f>
        <v>4000</v>
      </c>
      <c r="U143" s="258">
        <f>'[1]12. Prostredie pre život'!$Q$22</f>
        <v>4000</v>
      </c>
      <c r="V143" s="258">
        <f>'[1]12. Prostredie pre život'!$R$22</f>
        <v>0</v>
      </c>
      <c r="W143" s="259">
        <f>'[1]12. Prostredie pre život'!$S$22</f>
        <v>0</v>
      </c>
      <c r="X143" s="260">
        <f t="shared" ref="X143:X151" si="293">SUM(Y143:AA143)</f>
        <v>10100</v>
      </c>
      <c r="Y143" s="258">
        <f>'[1]12. Prostredie pre život'!$T$22</f>
        <v>10100</v>
      </c>
      <c r="Z143" s="258">
        <f>'[1]12. Prostredie pre život'!$U$22</f>
        <v>0</v>
      </c>
      <c r="AA143" s="259">
        <f>'[1]12. Prostredie pre život'!$V$22</f>
        <v>0</v>
      </c>
    </row>
    <row r="144" spans="2:27" ht="15.75" x14ac:dyDescent="0.25">
      <c r="B144" s="273">
        <v>3</v>
      </c>
      <c r="C144" s="274" t="s">
        <v>326</v>
      </c>
      <c r="D144" s="260">
        <f t="shared" si="288"/>
        <v>833.13</v>
      </c>
      <c r="E144" s="258">
        <f>'[1]12. Prostredie pre život'!$E$24</f>
        <v>833.13</v>
      </c>
      <c r="F144" s="258">
        <f>'[1]12. Prostredie pre život'!$F$24</f>
        <v>0</v>
      </c>
      <c r="G144" s="259">
        <f>'[1]12. Prostredie pre život'!$G$24</f>
        <v>0</v>
      </c>
      <c r="H144" s="260">
        <f t="shared" si="289"/>
        <v>26.35</v>
      </c>
      <c r="I144" s="258">
        <f>'[1]12. Prostredie pre život'!$H$24</f>
        <v>26.35</v>
      </c>
      <c r="J144" s="258">
        <f>'[1]12. Prostredie pre život'!$I$24</f>
        <v>0</v>
      </c>
      <c r="K144" s="259">
        <f>'[1]12. Prostredie pre život'!$J$24</f>
        <v>0</v>
      </c>
      <c r="L144" s="260">
        <f t="shared" si="290"/>
        <v>500</v>
      </c>
      <c r="M144" s="258">
        <f>'[1]12. Prostredie pre život'!$K$24</f>
        <v>500</v>
      </c>
      <c r="N144" s="258">
        <f>'[1]12. Prostredie pre život'!$L$24</f>
        <v>0</v>
      </c>
      <c r="O144" s="259">
        <f>'[1]12. Prostredie pre život'!$M$24</f>
        <v>0</v>
      </c>
      <c r="P144" s="260">
        <f t="shared" si="291"/>
        <v>500</v>
      </c>
      <c r="Q144" s="258">
        <f>'[1]12. Prostredie pre život'!$N$24</f>
        <v>500</v>
      </c>
      <c r="R144" s="258">
        <f>'[1]12. Prostredie pre život'!$O$24</f>
        <v>0</v>
      </c>
      <c r="S144" s="259">
        <f>'[1]12. Prostredie pre život'!$P$24</f>
        <v>0</v>
      </c>
      <c r="T144" s="260">
        <f t="shared" si="292"/>
        <v>0</v>
      </c>
      <c r="U144" s="258">
        <f>'[1]12. Prostredie pre život'!$Q$24</f>
        <v>0</v>
      </c>
      <c r="V144" s="258">
        <f>'[1]12. Prostredie pre život'!$R$24</f>
        <v>0</v>
      </c>
      <c r="W144" s="259">
        <f>'[1]12. Prostredie pre život'!$S$24</f>
        <v>0</v>
      </c>
      <c r="X144" s="260">
        <f t="shared" si="293"/>
        <v>500</v>
      </c>
      <c r="Y144" s="258">
        <f>'[1]12. Prostredie pre život'!$T$24</f>
        <v>500</v>
      </c>
      <c r="Z144" s="258">
        <f>'[1]12. Prostredie pre život'!$U$24</f>
        <v>0</v>
      </c>
      <c r="AA144" s="259">
        <f>'[1]12. Prostredie pre život'!$V$24</f>
        <v>0</v>
      </c>
    </row>
    <row r="145" spans="1:27" ht="15.75" x14ac:dyDescent="0.25">
      <c r="B145" s="273">
        <v>4</v>
      </c>
      <c r="C145" s="274" t="s">
        <v>327</v>
      </c>
      <c r="D145" s="260">
        <f t="shared" si="288"/>
        <v>496.8</v>
      </c>
      <c r="E145" s="258">
        <f>'[1]12. Prostredie pre život'!$E$41</f>
        <v>496.8</v>
      </c>
      <c r="F145" s="258">
        <f>'[1]12. Prostredie pre život'!$F$41</f>
        <v>0</v>
      </c>
      <c r="G145" s="259">
        <f>'[1]12. Prostredie pre život'!$G$41</f>
        <v>0</v>
      </c>
      <c r="H145" s="260">
        <f t="shared" si="289"/>
        <v>903.6</v>
      </c>
      <c r="I145" s="258">
        <f>'[1]12. Prostredie pre život'!$H$41</f>
        <v>903.6</v>
      </c>
      <c r="J145" s="258">
        <f>'[1]12. Prostredie pre život'!$I$41</f>
        <v>0</v>
      </c>
      <c r="K145" s="259">
        <f>'[1]12. Prostredie pre život'!$J$41</f>
        <v>0</v>
      </c>
      <c r="L145" s="260">
        <f t="shared" si="290"/>
        <v>1000</v>
      </c>
      <c r="M145" s="258">
        <f>'[1]12. Prostredie pre život'!$K$41</f>
        <v>1000</v>
      </c>
      <c r="N145" s="258">
        <f>'[1]12. Prostredie pre život'!$L$41</f>
        <v>0</v>
      </c>
      <c r="O145" s="259">
        <f>'[1]12. Prostredie pre život'!$M$41</f>
        <v>0</v>
      </c>
      <c r="P145" s="260">
        <f t="shared" si="291"/>
        <v>3000</v>
      </c>
      <c r="Q145" s="258">
        <f>'[1]12. Prostredie pre život'!$N$41</f>
        <v>3000</v>
      </c>
      <c r="R145" s="258">
        <f>'[1]12. Prostredie pre život'!$O$41</f>
        <v>0</v>
      </c>
      <c r="S145" s="259">
        <f>'[1]12. Prostredie pre život'!$P$41</f>
        <v>0</v>
      </c>
      <c r="T145" s="260">
        <f t="shared" si="292"/>
        <v>0</v>
      </c>
      <c r="U145" s="258">
        <f>'[1]12. Prostredie pre život'!$Q$41</f>
        <v>0</v>
      </c>
      <c r="V145" s="258">
        <f>'[1]12. Prostredie pre život'!$R$41</f>
        <v>0</v>
      </c>
      <c r="W145" s="259">
        <f>'[1]12. Prostredie pre život'!$S$41</f>
        <v>0</v>
      </c>
      <c r="X145" s="260">
        <f t="shared" si="293"/>
        <v>3000</v>
      </c>
      <c r="Y145" s="258">
        <f>'[1]12. Prostredie pre život'!$T$41</f>
        <v>3000</v>
      </c>
      <c r="Z145" s="258">
        <f>'[1]12. Prostredie pre život'!$U$41</f>
        <v>0</v>
      </c>
      <c r="AA145" s="259">
        <f>'[1]12. Prostredie pre život'!$V$41</f>
        <v>0</v>
      </c>
    </row>
    <row r="146" spans="1:27" ht="15.75" x14ac:dyDescent="0.25">
      <c r="B146" s="285" t="s">
        <v>328</v>
      </c>
      <c r="C146" s="274" t="s">
        <v>329</v>
      </c>
      <c r="D146" s="260">
        <f t="shared" si="288"/>
        <v>1105.8</v>
      </c>
      <c r="E146" s="258">
        <f>'[1]12. Prostredie pre život'!$E$45</f>
        <v>1105.8</v>
      </c>
      <c r="F146" s="258">
        <f>'[1]12. Prostredie pre život'!$F$45</f>
        <v>0</v>
      </c>
      <c r="G146" s="259">
        <f>'[1]12. Prostredie pre život'!$G$45</f>
        <v>0</v>
      </c>
      <c r="H146" s="260">
        <f t="shared" si="289"/>
        <v>978</v>
      </c>
      <c r="I146" s="258">
        <f>'[1]12. Prostredie pre život'!$H$45</f>
        <v>978</v>
      </c>
      <c r="J146" s="258">
        <f>'[1]12. Prostredie pre život'!$I$45</f>
        <v>0</v>
      </c>
      <c r="K146" s="259">
        <f>'[1]12. Prostredie pre život'!$J$45</f>
        <v>0</v>
      </c>
      <c r="L146" s="260">
        <f t="shared" si="290"/>
        <v>3110</v>
      </c>
      <c r="M146" s="258">
        <f>'[1]12. Prostredie pre život'!$K$45</f>
        <v>3110</v>
      </c>
      <c r="N146" s="258">
        <f>'[1]12. Prostredie pre život'!$L$45</f>
        <v>0</v>
      </c>
      <c r="O146" s="259">
        <f>'[1]12. Prostredie pre život'!$M$45</f>
        <v>0</v>
      </c>
      <c r="P146" s="260">
        <f t="shared" si="291"/>
        <v>3110</v>
      </c>
      <c r="Q146" s="258">
        <f>'[1]12. Prostredie pre život'!$N$45</f>
        <v>3110</v>
      </c>
      <c r="R146" s="258">
        <f>'[1]12. Prostredie pre život'!$O$45</f>
        <v>0</v>
      </c>
      <c r="S146" s="259">
        <f>'[1]12. Prostredie pre život'!$P$45</f>
        <v>0</v>
      </c>
      <c r="T146" s="260">
        <f t="shared" si="292"/>
        <v>0</v>
      </c>
      <c r="U146" s="258">
        <f>'[1]12. Prostredie pre život'!$Q$45</f>
        <v>0</v>
      </c>
      <c r="V146" s="258">
        <f>'[1]12. Prostredie pre život'!$R$45</f>
        <v>0</v>
      </c>
      <c r="W146" s="259">
        <f>'[1]12. Prostredie pre život'!$S$45</f>
        <v>0</v>
      </c>
      <c r="X146" s="260">
        <f t="shared" si="293"/>
        <v>3110</v>
      </c>
      <c r="Y146" s="258">
        <f>'[1]12. Prostredie pre život'!$T$45</f>
        <v>3110</v>
      </c>
      <c r="Z146" s="258">
        <f>'[1]12. Prostredie pre život'!$U$45</f>
        <v>0</v>
      </c>
      <c r="AA146" s="259">
        <f>'[1]12. Prostredie pre život'!$V$45</f>
        <v>0</v>
      </c>
    </row>
    <row r="147" spans="1:27" ht="15.75" x14ac:dyDescent="0.25">
      <c r="A147" s="124"/>
      <c r="B147" s="291" t="s">
        <v>330</v>
      </c>
      <c r="C147" s="274" t="s">
        <v>331</v>
      </c>
      <c r="D147" s="260">
        <f t="shared" si="288"/>
        <v>34512.299999999996</v>
      </c>
      <c r="E147" s="258">
        <f>'[1]12. Prostredie pre život'!$E$48</f>
        <v>22395.17</v>
      </c>
      <c r="F147" s="258">
        <f>'[1]12. Prostredie pre život'!$F$48</f>
        <v>12117.13</v>
      </c>
      <c r="G147" s="259">
        <f>'[1]12. Prostredie pre život'!$G$48</f>
        <v>0</v>
      </c>
      <c r="H147" s="260">
        <f t="shared" si="289"/>
        <v>16520.400000000001</v>
      </c>
      <c r="I147" s="258">
        <f>'[1]12. Prostredie pre život'!$H$48</f>
        <v>16520.400000000001</v>
      </c>
      <c r="J147" s="258">
        <f>'[1]12. Prostredie pre život'!$I$48</f>
        <v>0</v>
      </c>
      <c r="K147" s="259">
        <f>'[1]12. Prostredie pre život'!$J$48</f>
        <v>0</v>
      </c>
      <c r="L147" s="260">
        <f t="shared" si="290"/>
        <v>86750</v>
      </c>
      <c r="M147" s="258">
        <f>'[1]12. Prostredie pre život'!$K$48</f>
        <v>20250</v>
      </c>
      <c r="N147" s="258">
        <f>'[1]12. Prostredie pre život'!$L$48</f>
        <v>66500</v>
      </c>
      <c r="O147" s="259">
        <f>'[1]12. Prostredie pre život'!$M$48</f>
        <v>0</v>
      </c>
      <c r="P147" s="260">
        <f t="shared" si="291"/>
        <v>86750</v>
      </c>
      <c r="Q147" s="258">
        <f>'[1]12. Prostredie pre život'!$N$48</f>
        <v>20250</v>
      </c>
      <c r="R147" s="258">
        <f>'[1]12. Prostredie pre život'!$O$48</f>
        <v>66500</v>
      </c>
      <c r="S147" s="259">
        <f>'[1]12. Prostredie pre život'!$P$48</f>
        <v>0</v>
      </c>
      <c r="T147" s="260">
        <f t="shared" si="292"/>
        <v>8000</v>
      </c>
      <c r="U147" s="258">
        <f>'[1]12. Prostredie pre život'!$Q$48</f>
        <v>3500</v>
      </c>
      <c r="V147" s="258">
        <f>'[1]12. Prostredie pre život'!$R$48</f>
        <v>4500</v>
      </c>
      <c r="W147" s="259">
        <f>'[1]12. Prostredie pre život'!$S$48</f>
        <v>0</v>
      </c>
      <c r="X147" s="260">
        <f t="shared" si="293"/>
        <v>94750</v>
      </c>
      <c r="Y147" s="258">
        <f>'[1]12. Prostredie pre život'!$T$48</f>
        <v>23750</v>
      </c>
      <c r="Z147" s="258">
        <f>'[1]12. Prostredie pre život'!$U$48</f>
        <v>71000</v>
      </c>
      <c r="AA147" s="259">
        <f>'[1]12. Prostredie pre život'!$V$48</f>
        <v>0</v>
      </c>
    </row>
    <row r="148" spans="1:27" ht="15.75" x14ac:dyDescent="0.25">
      <c r="A148" s="124"/>
      <c r="B148" s="291" t="s">
        <v>332</v>
      </c>
      <c r="C148" s="274" t="s">
        <v>333</v>
      </c>
      <c r="D148" s="260">
        <f t="shared" si="288"/>
        <v>485.26</v>
      </c>
      <c r="E148" s="258">
        <f>'[1]12. Prostredie pre život'!$E$68</f>
        <v>485.26</v>
      </c>
      <c r="F148" s="258">
        <f>'[1]12. Prostredie pre život'!$F$68</f>
        <v>0</v>
      </c>
      <c r="G148" s="259">
        <f>'[1]12. Prostredie pre život'!$G$68</f>
        <v>0</v>
      </c>
      <c r="H148" s="260">
        <f t="shared" si="289"/>
        <v>481.65</v>
      </c>
      <c r="I148" s="258">
        <f>'[1]12. Prostredie pre život'!$H$68</f>
        <v>481.65</v>
      </c>
      <c r="J148" s="258">
        <f>'[1]12. Prostredie pre život'!$I$68</f>
        <v>0</v>
      </c>
      <c r="K148" s="259">
        <f>'[1]12. Prostredie pre život'!$J$68</f>
        <v>0</v>
      </c>
      <c r="L148" s="260">
        <f t="shared" si="290"/>
        <v>500</v>
      </c>
      <c r="M148" s="258">
        <f>'[1]12. Prostredie pre život'!$K$68</f>
        <v>500</v>
      </c>
      <c r="N148" s="258">
        <f>'[1]12. Prostredie pre život'!$L$68</f>
        <v>0</v>
      </c>
      <c r="O148" s="259">
        <f>'[1]12. Prostredie pre život'!$M$68</f>
        <v>0</v>
      </c>
      <c r="P148" s="260">
        <f t="shared" si="291"/>
        <v>500</v>
      </c>
      <c r="Q148" s="258">
        <f>'[1]12. Prostredie pre život'!$N$68</f>
        <v>500</v>
      </c>
      <c r="R148" s="258">
        <f>'[1]12. Prostredie pre život'!$O$68</f>
        <v>0</v>
      </c>
      <c r="S148" s="259">
        <f>'[1]12. Prostredie pre život'!$P$68</f>
        <v>0</v>
      </c>
      <c r="T148" s="260">
        <f t="shared" si="292"/>
        <v>0</v>
      </c>
      <c r="U148" s="258">
        <f>'[1]12. Prostredie pre život'!$Q$68</f>
        <v>0</v>
      </c>
      <c r="V148" s="258">
        <f>'[1]12. Prostredie pre život'!$R$68</f>
        <v>0</v>
      </c>
      <c r="W148" s="259">
        <f>'[1]12. Prostredie pre život'!$S$68</f>
        <v>0</v>
      </c>
      <c r="X148" s="260">
        <f t="shared" si="293"/>
        <v>500</v>
      </c>
      <c r="Y148" s="258">
        <f>'[1]12. Prostredie pre život'!$T$68</f>
        <v>500</v>
      </c>
      <c r="Z148" s="258">
        <f>'[1]12. Prostredie pre život'!$U$68</f>
        <v>0</v>
      </c>
      <c r="AA148" s="259">
        <f>'[1]12. Prostredie pre život'!$V$68</f>
        <v>0</v>
      </c>
    </row>
    <row r="149" spans="1:27" ht="15.75" x14ac:dyDescent="0.25">
      <c r="A149" s="124"/>
      <c r="B149" s="291" t="s">
        <v>334</v>
      </c>
      <c r="C149" s="274" t="s">
        <v>335</v>
      </c>
      <c r="D149" s="260">
        <f t="shared" si="288"/>
        <v>29289.4</v>
      </c>
      <c r="E149" s="258">
        <f>'[1]12. Prostredie pre život'!$E$70</f>
        <v>29289.4</v>
      </c>
      <c r="F149" s="258">
        <f>'[1]12. Prostredie pre život'!$F$70</f>
        <v>0</v>
      </c>
      <c r="G149" s="259">
        <f>'[1]12. Prostredie pre život'!$G$70</f>
        <v>0</v>
      </c>
      <c r="H149" s="260">
        <f t="shared" si="289"/>
        <v>31719.87</v>
      </c>
      <c r="I149" s="258">
        <f>'[1]12. Prostredie pre život'!$H$70</f>
        <v>31719.87</v>
      </c>
      <c r="J149" s="258">
        <f>'[1]12. Prostredie pre život'!$I$70</f>
        <v>0</v>
      </c>
      <c r="K149" s="259">
        <f>'[1]12. Prostredie pre život'!$J$70</f>
        <v>0</v>
      </c>
      <c r="L149" s="260">
        <f t="shared" si="290"/>
        <v>34000</v>
      </c>
      <c r="M149" s="258">
        <f>'[1]12. Prostredie pre život'!$K$70</f>
        <v>34000</v>
      </c>
      <c r="N149" s="258">
        <f>'[1]12. Prostredie pre život'!$L$70</f>
        <v>0</v>
      </c>
      <c r="O149" s="259">
        <f>'[1]12. Prostredie pre život'!$M$70</f>
        <v>0</v>
      </c>
      <c r="P149" s="260">
        <f t="shared" si="291"/>
        <v>34000</v>
      </c>
      <c r="Q149" s="258">
        <f>'[1]12. Prostredie pre život'!$N$70</f>
        <v>34000</v>
      </c>
      <c r="R149" s="258">
        <f>'[1]12. Prostredie pre život'!$O$70</f>
        <v>0</v>
      </c>
      <c r="S149" s="259">
        <f>'[1]12. Prostredie pre život'!$P$70</f>
        <v>0</v>
      </c>
      <c r="T149" s="260">
        <f t="shared" si="292"/>
        <v>0</v>
      </c>
      <c r="U149" s="258">
        <f>'[1]12. Prostredie pre život'!$Q$70</f>
        <v>0</v>
      </c>
      <c r="V149" s="258">
        <f>'[1]12. Prostredie pre život'!$R$70</f>
        <v>0</v>
      </c>
      <c r="W149" s="259">
        <f>'[1]12. Prostredie pre život'!$S$70</f>
        <v>0</v>
      </c>
      <c r="X149" s="260">
        <f t="shared" si="293"/>
        <v>34000</v>
      </c>
      <c r="Y149" s="258">
        <f>'[1]12. Prostredie pre život'!$T$70</f>
        <v>34000</v>
      </c>
      <c r="Z149" s="258">
        <f>'[1]12. Prostredie pre život'!$U$70</f>
        <v>0</v>
      </c>
      <c r="AA149" s="259">
        <f>'[1]12. Prostredie pre život'!$V$70</f>
        <v>0</v>
      </c>
    </row>
    <row r="150" spans="1:27" ht="15.75" x14ac:dyDescent="0.25">
      <c r="A150" s="124"/>
      <c r="B150" s="292" t="s">
        <v>336</v>
      </c>
      <c r="C150" s="290" t="s">
        <v>337</v>
      </c>
      <c r="D150" s="260">
        <f t="shared" si="288"/>
        <v>69616.450000000012</v>
      </c>
      <c r="E150" s="258">
        <f>'[1]12. Prostredie pre život'!$E$74</f>
        <v>34373.660000000003</v>
      </c>
      <c r="F150" s="258">
        <f>'[1]12. Prostredie pre život'!$F$74</f>
        <v>35242.79</v>
      </c>
      <c r="G150" s="259">
        <f>'[1]12. Prostredie pre život'!$G$74</f>
        <v>0</v>
      </c>
      <c r="H150" s="260">
        <f t="shared" si="289"/>
        <v>44312.380000000005</v>
      </c>
      <c r="I150" s="258">
        <f>'[1]12. Prostredie pre život'!$H$74</f>
        <v>24889.23</v>
      </c>
      <c r="J150" s="258">
        <f>'[1]12. Prostredie pre život'!$I$74</f>
        <v>19423.150000000001</v>
      </c>
      <c r="K150" s="259">
        <f>'[1]12. Prostredie pre život'!$J$74</f>
        <v>0</v>
      </c>
      <c r="L150" s="260">
        <f t="shared" si="290"/>
        <v>38000</v>
      </c>
      <c r="M150" s="258">
        <f>'[1]12. Prostredie pre život'!$K$74</f>
        <v>38000</v>
      </c>
      <c r="N150" s="258">
        <f>'[1]12. Prostredie pre život'!$L$74</f>
        <v>0</v>
      </c>
      <c r="O150" s="259">
        <f>'[1]12. Prostredie pre život'!$M$74</f>
        <v>0</v>
      </c>
      <c r="P150" s="260">
        <f t="shared" si="291"/>
        <v>38000</v>
      </c>
      <c r="Q150" s="258">
        <f>'[1]12. Prostredie pre život'!$N$74</f>
        <v>38000</v>
      </c>
      <c r="R150" s="258">
        <f>'[1]12. Prostredie pre život'!$O$74</f>
        <v>0</v>
      </c>
      <c r="S150" s="259">
        <f>'[1]12. Prostredie pre život'!$P$74</f>
        <v>0</v>
      </c>
      <c r="T150" s="260">
        <f t="shared" si="292"/>
        <v>0</v>
      </c>
      <c r="U150" s="258">
        <f>'[1]12. Prostredie pre život'!$Q$74</f>
        <v>0</v>
      </c>
      <c r="V150" s="258">
        <f>'[1]12. Prostredie pre život'!$R$74</f>
        <v>0</v>
      </c>
      <c r="W150" s="259">
        <f>'[1]12. Prostredie pre život'!$S$74</f>
        <v>0</v>
      </c>
      <c r="X150" s="260">
        <f t="shared" si="293"/>
        <v>38000</v>
      </c>
      <c r="Y150" s="258">
        <f>'[1]12. Prostredie pre život'!$T$74</f>
        <v>38000</v>
      </c>
      <c r="Z150" s="258">
        <f>'[1]12. Prostredie pre život'!$U$74</f>
        <v>0</v>
      </c>
      <c r="AA150" s="259">
        <f>'[1]12. Prostredie pre život'!$V$74</f>
        <v>0</v>
      </c>
    </row>
    <row r="151" spans="1:27" ht="16.5" thickBot="1" x14ac:dyDescent="0.3">
      <c r="A151" s="124"/>
      <c r="B151" s="293" t="s">
        <v>338</v>
      </c>
      <c r="C151" s="276" t="s">
        <v>414</v>
      </c>
      <c r="D151" s="269">
        <f t="shared" si="288"/>
        <v>0</v>
      </c>
      <c r="E151" s="270">
        <f>'[1]12. Prostredie pre život'!$E$99</f>
        <v>0</v>
      </c>
      <c r="F151" s="270">
        <f>'[1]12. Prostredie pre život'!$F$99</f>
        <v>0</v>
      </c>
      <c r="G151" s="303">
        <f>'[1]12. Prostredie pre život'!$G$99</f>
        <v>0</v>
      </c>
      <c r="H151" s="269">
        <f t="shared" si="289"/>
        <v>0</v>
      </c>
      <c r="I151" s="270">
        <f>'[1]12. Prostredie pre život'!$H$100</f>
        <v>0</v>
      </c>
      <c r="J151" s="270">
        <f>'[1]12. Prostredie pre život'!$I$100</f>
        <v>0</v>
      </c>
      <c r="K151" s="303">
        <f>'[1]12. Prostredie pre život'!$J$100</f>
        <v>0</v>
      </c>
      <c r="L151" s="269">
        <f t="shared" si="290"/>
        <v>0</v>
      </c>
      <c r="M151" s="270">
        <f>'[1]12. Prostredie pre život'!$K$100</f>
        <v>0</v>
      </c>
      <c r="N151" s="270">
        <f>'[1]12. Prostredie pre život'!$L$100</f>
        <v>0</v>
      </c>
      <c r="O151" s="303">
        <f>'[1]12. Prostredie pre život'!$M$100</f>
        <v>0</v>
      </c>
      <c r="P151" s="269">
        <f t="shared" si="291"/>
        <v>0</v>
      </c>
      <c r="Q151" s="270">
        <f>'[1]12. Prostredie pre život'!$N$100</f>
        <v>0</v>
      </c>
      <c r="R151" s="270">
        <f>'[1]12. Prostredie pre život'!$O$100</f>
        <v>0</v>
      </c>
      <c r="S151" s="303">
        <f>'[1]12. Prostredie pre život'!$P$100</f>
        <v>0</v>
      </c>
      <c r="T151" s="269">
        <f t="shared" si="292"/>
        <v>0</v>
      </c>
      <c r="U151" s="270">
        <f>'[1]12. Prostredie pre život'!$Q$100</f>
        <v>0</v>
      </c>
      <c r="V151" s="270">
        <f>'[1]12. Prostredie pre život'!$R$100</f>
        <v>0</v>
      </c>
      <c r="W151" s="303">
        <f>'[1]12. Prostredie pre život'!$S$100</f>
        <v>0</v>
      </c>
      <c r="X151" s="269">
        <f t="shared" si="293"/>
        <v>0</v>
      </c>
      <c r="Y151" s="270">
        <f>'[1]12. Prostredie pre život'!$T$100</f>
        <v>0</v>
      </c>
      <c r="Z151" s="270">
        <f>'[1]12. Prostredie pre život'!$U$100</f>
        <v>0</v>
      </c>
      <c r="AA151" s="303">
        <f>'[1]12. Prostredie pre život'!$V$100</f>
        <v>0</v>
      </c>
    </row>
    <row r="152" spans="1:27" s="123" customFormat="1" ht="15.75" x14ac:dyDescent="0.25">
      <c r="A152" s="125"/>
      <c r="B152" s="294" t="s">
        <v>340</v>
      </c>
      <c r="C152" s="295" t="s">
        <v>341</v>
      </c>
      <c r="D152" s="266">
        <f t="shared" ref="D152:K152" si="294">D153+D157+D162+D167+D171+D172+D173+D175+D176+D177</f>
        <v>2069612.56</v>
      </c>
      <c r="E152" s="267">
        <f t="shared" si="294"/>
        <v>2031078.8199999998</v>
      </c>
      <c r="F152" s="267">
        <f t="shared" si="294"/>
        <v>38533.740000000005</v>
      </c>
      <c r="G152" s="268">
        <f t="shared" si="294"/>
        <v>0</v>
      </c>
      <c r="H152" s="266">
        <f t="shared" si="294"/>
        <v>2339512.7799999998</v>
      </c>
      <c r="I152" s="267">
        <f t="shared" si="294"/>
        <v>2333426.7799999998</v>
      </c>
      <c r="J152" s="267">
        <f t="shared" si="294"/>
        <v>0</v>
      </c>
      <c r="K152" s="268">
        <f t="shared" si="294"/>
        <v>6086</v>
      </c>
      <c r="L152" s="266">
        <f t="shared" ref="L152" si="295">L153+L157+L162+L167+L171+L172+L173+L175+L176+L177</f>
        <v>2537110</v>
      </c>
      <c r="M152" s="267">
        <f t="shared" ref="M152" si="296">M153+M157+M162+M167+M171+M172+M173+M175+M176+M177</f>
        <v>2527110</v>
      </c>
      <c r="N152" s="267">
        <f t="shared" ref="N152" si="297">N153+N157+N162+N167+N171+N172+N173+N175+N176+N177</f>
        <v>10000</v>
      </c>
      <c r="O152" s="268">
        <f t="shared" ref="O152" si="298">O153+O157+O162+O167+O171+O172+O173+O175+O176+O177</f>
        <v>0</v>
      </c>
      <c r="P152" s="266">
        <f t="shared" ref="P152" si="299">P153+P157+P162+P167+P171+P172+P173+P175+P176+P177</f>
        <v>2553750</v>
      </c>
      <c r="Q152" s="267">
        <f t="shared" ref="Q152" si="300">Q153+Q157+Q162+Q167+Q171+Q172+Q173+Q175+Q176+Q177</f>
        <v>2527110</v>
      </c>
      <c r="R152" s="267">
        <f t="shared" ref="R152" si="301">R153+R157+R162+R167+R171+R172+R173+R175+R176+R177</f>
        <v>26640</v>
      </c>
      <c r="S152" s="268">
        <f t="shared" ref="S152" si="302">S153+S157+S162+S167+S171+S172+S173+S175+S176+S177</f>
        <v>0</v>
      </c>
      <c r="T152" s="266">
        <f t="shared" ref="T152" si="303">T153+T157+T162+T167+T171+T172+T173+T175+T176+T177</f>
        <v>549905</v>
      </c>
      <c r="U152" s="267">
        <f t="shared" ref="U152" si="304">U153+U157+U162+U167+U171+U172+U173+U175+U176+U177</f>
        <v>531755</v>
      </c>
      <c r="V152" s="267">
        <f t="shared" ref="V152" si="305">V153+V157+V162+V167+V171+V172+V173+V175+V176+V177</f>
        <v>11000</v>
      </c>
      <c r="W152" s="268">
        <f t="shared" ref="W152:Z152" si="306">W153+W157+W162+W167+W171+W172+W173+W175+W176+W177</f>
        <v>7150</v>
      </c>
      <c r="X152" s="266">
        <f t="shared" si="306"/>
        <v>3103655</v>
      </c>
      <c r="Y152" s="267">
        <f t="shared" si="306"/>
        <v>3058865</v>
      </c>
      <c r="Z152" s="267">
        <f t="shared" si="306"/>
        <v>37640</v>
      </c>
      <c r="AA152" s="268">
        <f t="shared" ref="AA152" si="307">AA153+AA157+AA162+AA167+AA171+AA172+AA173+AA175+AA176+AA177</f>
        <v>7150</v>
      </c>
    </row>
    <row r="153" spans="1:27" ht="15.75" x14ac:dyDescent="0.25">
      <c r="A153" s="124"/>
      <c r="B153" s="285" t="s">
        <v>342</v>
      </c>
      <c r="C153" s="274" t="s">
        <v>343</v>
      </c>
      <c r="D153" s="260">
        <f t="shared" ref="D153:G153" si="308">SUM(D154:D156)</f>
        <v>41114.86</v>
      </c>
      <c r="E153" s="258">
        <f t="shared" si="308"/>
        <v>41114.86</v>
      </c>
      <c r="F153" s="258">
        <f t="shared" si="308"/>
        <v>0</v>
      </c>
      <c r="G153" s="259">
        <f t="shared" si="308"/>
        <v>0</v>
      </c>
      <c r="H153" s="260">
        <f t="shared" ref="H153:K153" si="309">SUM(H154:H156)</f>
        <v>37668.339999999997</v>
      </c>
      <c r="I153" s="258">
        <f t="shared" si="309"/>
        <v>37668.339999999997</v>
      </c>
      <c r="J153" s="258">
        <f t="shared" si="309"/>
        <v>0</v>
      </c>
      <c r="K153" s="259">
        <f t="shared" si="309"/>
        <v>0</v>
      </c>
      <c r="L153" s="260">
        <f t="shared" ref="L153:O153" si="310">SUM(L154:L156)</f>
        <v>36040</v>
      </c>
      <c r="M153" s="258">
        <f t="shared" si="310"/>
        <v>36040</v>
      </c>
      <c r="N153" s="258">
        <f t="shared" si="310"/>
        <v>0</v>
      </c>
      <c r="O153" s="259">
        <f t="shared" si="310"/>
        <v>0</v>
      </c>
      <c r="P153" s="260">
        <f t="shared" ref="P153:S153" si="311">SUM(P154:P156)</f>
        <v>36040</v>
      </c>
      <c r="Q153" s="258">
        <f t="shared" si="311"/>
        <v>36040</v>
      </c>
      <c r="R153" s="258">
        <f t="shared" si="311"/>
        <v>0</v>
      </c>
      <c r="S153" s="259">
        <f t="shared" si="311"/>
        <v>0</v>
      </c>
      <c r="T153" s="260">
        <f t="shared" ref="T153:W153" si="312">SUM(T154:T156)</f>
        <v>-460</v>
      </c>
      <c r="U153" s="258">
        <f t="shared" si="312"/>
        <v>-460</v>
      </c>
      <c r="V153" s="258">
        <f t="shared" si="312"/>
        <v>0</v>
      </c>
      <c r="W153" s="259">
        <f t="shared" si="312"/>
        <v>0</v>
      </c>
      <c r="X153" s="260">
        <f t="shared" ref="X153:AA153" si="313">SUM(X154:X156)</f>
        <v>35580</v>
      </c>
      <c r="Y153" s="258">
        <f t="shared" si="313"/>
        <v>35580</v>
      </c>
      <c r="Z153" s="258">
        <f t="shared" si="313"/>
        <v>0</v>
      </c>
      <c r="AA153" s="259">
        <f t="shared" si="313"/>
        <v>0</v>
      </c>
    </row>
    <row r="154" spans="1:27" ht="15.75" x14ac:dyDescent="0.25">
      <c r="A154" s="124"/>
      <c r="B154" s="273">
        <v>1</v>
      </c>
      <c r="C154" s="274" t="s">
        <v>344</v>
      </c>
      <c r="D154" s="260">
        <f>SUM(E154:G154)</f>
        <v>35850.92</v>
      </c>
      <c r="E154" s="258">
        <f>'[1]13. Sociálna starostlivosť'!$E$5</f>
        <v>35850.92</v>
      </c>
      <c r="F154" s="258">
        <f>'[1]13. Sociálna starostlivosť'!$F$5</f>
        <v>0</v>
      </c>
      <c r="G154" s="259">
        <f>'[1]13. Sociálna starostlivosť'!$G$5</f>
        <v>0</v>
      </c>
      <c r="H154" s="260">
        <f>SUM(I154:K154)</f>
        <v>32600</v>
      </c>
      <c r="I154" s="258">
        <f>'[1]13. Sociálna starostlivosť'!$H$5</f>
        <v>32600</v>
      </c>
      <c r="J154" s="258">
        <f>'[1]13. Sociálna starostlivosť'!$I$5</f>
        <v>0</v>
      </c>
      <c r="K154" s="259">
        <f>'[1]13. Sociálna starostlivosť'!$J$5</f>
        <v>0</v>
      </c>
      <c r="L154" s="260">
        <f>SUM(M154:O154)</f>
        <v>26540</v>
      </c>
      <c r="M154" s="258">
        <f>'[1]13. Sociálna starostlivosť'!$K$5</f>
        <v>26540</v>
      </c>
      <c r="N154" s="258">
        <f>'[1]13. Sociálna starostlivosť'!$L$5</f>
        <v>0</v>
      </c>
      <c r="O154" s="259">
        <f>'[1]13. Sociálna starostlivosť'!$M$5</f>
        <v>0</v>
      </c>
      <c r="P154" s="260">
        <f>SUM(Q154:S154)</f>
        <v>26540</v>
      </c>
      <c r="Q154" s="258">
        <f>'[1]13. Sociálna starostlivosť'!$N$5</f>
        <v>26540</v>
      </c>
      <c r="R154" s="258">
        <f>'[1]13. Sociálna starostlivosť'!$O$5</f>
        <v>0</v>
      </c>
      <c r="S154" s="259">
        <f>'[1]13. Sociálna starostlivosť'!$P$5</f>
        <v>0</v>
      </c>
      <c r="T154" s="260">
        <f>SUM(U154:W154)</f>
        <v>-490</v>
      </c>
      <c r="U154" s="258">
        <f>'[1]13. Sociálna starostlivosť'!$Q$5</f>
        <v>-490</v>
      </c>
      <c r="V154" s="258">
        <f>'[1]13. Sociálna starostlivosť'!$R$5</f>
        <v>0</v>
      </c>
      <c r="W154" s="259">
        <f>'[1]13. Sociálna starostlivosť'!$S$5</f>
        <v>0</v>
      </c>
      <c r="X154" s="260">
        <f>SUM(Y154:AA154)</f>
        <v>26050</v>
      </c>
      <c r="Y154" s="258">
        <f>'[1]13. Sociálna starostlivosť'!$T$5</f>
        <v>26050</v>
      </c>
      <c r="Z154" s="258">
        <f>'[1]13. Sociálna starostlivosť'!$U$5</f>
        <v>0</v>
      </c>
      <c r="AA154" s="259">
        <f>'[1]13. Sociálna starostlivosť'!$V$5</f>
        <v>0</v>
      </c>
    </row>
    <row r="155" spans="1:27" ht="15.75" x14ac:dyDescent="0.25">
      <c r="A155" s="124"/>
      <c r="B155" s="273">
        <v>2</v>
      </c>
      <c r="C155" s="274" t="s">
        <v>345</v>
      </c>
      <c r="D155" s="260">
        <f t="shared" ref="D155:D156" si="314">SUM(E155:G155)</f>
        <v>0</v>
      </c>
      <c r="E155" s="258">
        <f>'[1]13. Sociálna starostlivosť'!$E$8</f>
        <v>0</v>
      </c>
      <c r="F155" s="258">
        <f>'[1]13. Sociálna starostlivosť'!$F$8</f>
        <v>0</v>
      </c>
      <c r="G155" s="259">
        <f>'[1]13. Sociálna starostlivosť'!$G$8</f>
        <v>0</v>
      </c>
      <c r="H155" s="260">
        <f t="shared" ref="H155:H156" si="315">SUM(I155:K155)</f>
        <v>0</v>
      </c>
      <c r="I155" s="258">
        <f>'[1]13. Sociálna starostlivosť'!$H$8</f>
        <v>0</v>
      </c>
      <c r="J155" s="258">
        <f>'[1]13. Sociálna starostlivosť'!$I$8</f>
        <v>0</v>
      </c>
      <c r="K155" s="259">
        <f>'[1]13. Sociálna starostlivosť'!$J$8</f>
        <v>0</v>
      </c>
      <c r="L155" s="260">
        <f t="shared" ref="L155:L156" si="316">SUM(M155:O155)</f>
        <v>0</v>
      </c>
      <c r="M155" s="258">
        <f>'[1]13. Sociálna starostlivosť'!$K$8</f>
        <v>0</v>
      </c>
      <c r="N155" s="258">
        <f>'[1]13. Sociálna starostlivosť'!$L$8</f>
        <v>0</v>
      </c>
      <c r="O155" s="259">
        <f>'[1]13. Sociálna starostlivosť'!$M$8</f>
        <v>0</v>
      </c>
      <c r="P155" s="260">
        <f t="shared" ref="P155:P156" si="317">SUM(Q155:S155)</f>
        <v>0</v>
      </c>
      <c r="Q155" s="258">
        <f>'[1]13. Sociálna starostlivosť'!$N$8</f>
        <v>0</v>
      </c>
      <c r="R155" s="258">
        <f>'[1]13. Sociálna starostlivosť'!$O$8</f>
        <v>0</v>
      </c>
      <c r="S155" s="259">
        <f>'[1]13. Sociálna starostlivosť'!$P$8</f>
        <v>0</v>
      </c>
      <c r="T155" s="260">
        <f t="shared" ref="T155:T156" si="318">SUM(U155:W155)</f>
        <v>0</v>
      </c>
      <c r="U155" s="258">
        <f>'[1]13. Sociálna starostlivosť'!$Q$8</f>
        <v>0</v>
      </c>
      <c r="V155" s="258">
        <f>'[1]13. Sociálna starostlivosť'!$R$8</f>
        <v>0</v>
      </c>
      <c r="W155" s="259">
        <f>'[1]13. Sociálna starostlivosť'!$S$8</f>
        <v>0</v>
      </c>
      <c r="X155" s="260">
        <f t="shared" ref="X155:X156" si="319">SUM(Y155:AA155)</f>
        <v>0</v>
      </c>
      <c r="Y155" s="258">
        <f>'[1]13. Sociálna starostlivosť'!$T$8</f>
        <v>0</v>
      </c>
      <c r="Z155" s="258">
        <f>'[1]13. Sociálna starostlivosť'!$U$8</f>
        <v>0</v>
      </c>
      <c r="AA155" s="259">
        <f>'[1]13. Sociálna starostlivosť'!$V$8</f>
        <v>0</v>
      </c>
    </row>
    <row r="156" spans="1:27" ht="15.75" x14ac:dyDescent="0.25">
      <c r="A156" s="124"/>
      <c r="B156" s="273">
        <v>3</v>
      </c>
      <c r="C156" s="274" t="s">
        <v>346</v>
      </c>
      <c r="D156" s="260">
        <f t="shared" si="314"/>
        <v>5263.94</v>
      </c>
      <c r="E156" s="258">
        <f>'[1]13. Sociálna starostlivosť'!$E$9</f>
        <v>5263.94</v>
      </c>
      <c r="F156" s="258">
        <f>'[1]13. Sociálna starostlivosť'!$F$9</f>
        <v>0</v>
      </c>
      <c r="G156" s="259">
        <f>'[1]13. Sociálna starostlivosť'!$G$9</f>
        <v>0</v>
      </c>
      <c r="H156" s="260">
        <f t="shared" si="315"/>
        <v>5068.34</v>
      </c>
      <c r="I156" s="258">
        <f>'[1]13. Sociálna starostlivosť'!$H$9</f>
        <v>5068.34</v>
      </c>
      <c r="J156" s="258">
        <f>'[1]13. Sociálna starostlivosť'!$I$9</f>
        <v>0</v>
      </c>
      <c r="K156" s="259">
        <f>'[1]13. Sociálna starostlivosť'!$J$9</f>
        <v>0</v>
      </c>
      <c r="L156" s="260">
        <f t="shared" si="316"/>
        <v>9500</v>
      </c>
      <c r="M156" s="258">
        <f>'[1]13. Sociálna starostlivosť'!$K$9</f>
        <v>9500</v>
      </c>
      <c r="N156" s="258">
        <f>'[1]13. Sociálna starostlivosť'!$L$9</f>
        <v>0</v>
      </c>
      <c r="O156" s="259">
        <f>'[1]13. Sociálna starostlivosť'!$M$9</f>
        <v>0</v>
      </c>
      <c r="P156" s="260">
        <f t="shared" si="317"/>
        <v>9500</v>
      </c>
      <c r="Q156" s="258">
        <f>'[1]13. Sociálna starostlivosť'!$N$9</f>
        <v>9500</v>
      </c>
      <c r="R156" s="258">
        <f>'[1]13. Sociálna starostlivosť'!$O$9</f>
        <v>0</v>
      </c>
      <c r="S156" s="259">
        <f>'[1]13. Sociálna starostlivosť'!$P$9</f>
        <v>0</v>
      </c>
      <c r="T156" s="260">
        <f t="shared" si="318"/>
        <v>30</v>
      </c>
      <c r="U156" s="258">
        <f>'[1]13. Sociálna starostlivosť'!$Q$9</f>
        <v>30</v>
      </c>
      <c r="V156" s="258">
        <f>'[1]13. Sociálna starostlivosť'!$R$9</f>
        <v>0</v>
      </c>
      <c r="W156" s="259">
        <f>'[1]13. Sociálna starostlivosť'!$S$9</f>
        <v>0</v>
      </c>
      <c r="X156" s="260">
        <f t="shared" si="319"/>
        <v>9530</v>
      </c>
      <c r="Y156" s="258">
        <f>'[1]13. Sociálna starostlivosť'!$T$9</f>
        <v>9530</v>
      </c>
      <c r="Z156" s="258">
        <f>'[1]13. Sociálna starostlivosť'!$U$9</f>
        <v>0</v>
      </c>
      <c r="AA156" s="259">
        <f>'[1]13. Sociálna starostlivosť'!$V$9</f>
        <v>0</v>
      </c>
    </row>
    <row r="157" spans="1:27" ht="15.75" x14ac:dyDescent="0.25">
      <c r="A157" s="125"/>
      <c r="B157" s="285" t="s">
        <v>347</v>
      </c>
      <c r="C157" s="274" t="s">
        <v>348</v>
      </c>
      <c r="D157" s="260">
        <f t="shared" ref="D157:G157" si="320">SUM(D158:D161)</f>
        <v>402365.03</v>
      </c>
      <c r="E157" s="258">
        <f t="shared" si="320"/>
        <v>402365.03</v>
      </c>
      <c r="F157" s="258">
        <f t="shared" si="320"/>
        <v>0</v>
      </c>
      <c r="G157" s="259">
        <f t="shared" si="320"/>
        <v>0</v>
      </c>
      <c r="H157" s="260">
        <f t="shared" ref="H157:K157" si="321">SUM(H158:H161)</f>
        <v>337074.39</v>
      </c>
      <c r="I157" s="258">
        <f t="shared" si="321"/>
        <v>337074.39</v>
      </c>
      <c r="J157" s="258">
        <f t="shared" si="321"/>
        <v>0</v>
      </c>
      <c r="K157" s="259">
        <f t="shared" si="321"/>
        <v>0</v>
      </c>
      <c r="L157" s="260">
        <f t="shared" ref="L157:O157" si="322">SUM(L158:L161)</f>
        <v>369900</v>
      </c>
      <c r="M157" s="258">
        <f t="shared" si="322"/>
        <v>369900</v>
      </c>
      <c r="N157" s="258">
        <f t="shared" si="322"/>
        <v>0</v>
      </c>
      <c r="O157" s="259">
        <f t="shared" si="322"/>
        <v>0</v>
      </c>
      <c r="P157" s="260">
        <f t="shared" ref="P157:S157" si="323">SUM(P158:P161)</f>
        <v>369900</v>
      </c>
      <c r="Q157" s="258">
        <f t="shared" si="323"/>
        <v>369900</v>
      </c>
      <c r="R157" s="258">
        <f t="shared" si="323"/>
        <v>0</v>
      </c>
      <c r="S157" s="259">
        <f t="shared" si="323"/>
        <v>0</v>
      </c>
      <c r="T157" s="260">
        <f t="shared" ref="T157:W157" si="324">SUM(T158:T161)</f>
        <v>49550</v>
      </c>
      <c r="U157" s="258">
        <f t="shared" si="324"/>
        <v>38550</v>
      </c>
      <c r="V157" s="258">
        <f t="shared" si="324"/>
        <v>11000</v>
      </c>
      <c r="W157" s="259">
        <f t="shared" si="324"/>
        <v>0</v>
      </c>
      <c r="X157" s="260">
        <f t="shared" ref="X157:AA157" si="325">SUM(X158:X161)</f>
        <v>419450</v>
      </c>
      <c r="Y157" s="258">
        <f t="shared" si="325"/>
        <v>408450</v>
      </c>
      <c r="Z157" s="258">
        <f t="shared" si="325"/>
        <v>11000</v>
      </c>
      <c r="AA157" s="259">
        <f t="shared" si="325"/>
        <v>0</v>
      </c>
    </row>
    <row r="158" spans="1:27" ht="15.75" x14ac:dyDescent="0.25">
      <c r="A158" s="125"/>
      <c r="B158" s="273">
        <v>1</v>
      </c>
      <c r="C158" s="274" t="s">
        <v>349</v>
      </c>
      <c r="D158" s="260">
        <f>SUM(E158:G158)</f>
        <v>282850</v>
      </c>
      <c r="E158" s="258">
        <f>'[1]13. Sociálna starostlivosť'!$E$17</f>
        <v>282850</v>
      </c>
      <c r="F158" s="258">
        <f>'[1]13. Sociálna starostlivosť'!$F$17</f>
        <v>0</v>
      </c>
      <c r="G158" s="259">
        <f>'[1]13. Sociálna starostlivosť'!$G$17</f>
        <v>0</v>
      </c>
      <c r="H158" s="260">
        <f>SUM(I158:K158)</f>
        <v>196630</v>
      </c>
      <c r="I158" s="258">
        <f>'[1]13. Sociálna starostlivosť'!$H$17</f>
        <v>196630</v>
      </c>
      <c r="J158" s="258">
        <f>'[1]13. Sociálna starostlivosť'!$I$17</f>
        <v>0</v>
      </c>
      <c r="K158" s="259">
        <f>'[1]13. Sociálna starostlivosť'!$J$17</f>
        <v>0</v>
      </c>
      <c r="L158" s="260">
        <f>SUM(M158:O158)</f>
        <v>221930</v>
      </c>
      <c r="M158" s="258">
        <f>'[1]13. Sociálna starostlivosť'!$K$17</f>
        <v>221930</v>
      </c>
      <c r="N158" s="258">
        <f>'[1]13. Sociálna starostlivosť'!$L$17</f>
        <v>0</v>
      </c>
      <c r="O158" s="259">
        <f>'[1]13. Sociálna starostlivosť'!$M$17</f>
        <v>0</v>
      </c>
      <c r="P158" s="260">
        <f>SUM(Q158:S158)</f>
        <v>221930</v>
      </c>
      <c r="Q158" s="258">
        <f>'[1]13. Sociálna starostlivosť'!$N$17</f>
        <v>221930</v>
      </c>
      <c r="R158" s="258">
        <f>'[1]13. Sociálna starostlivosť'!$O$17</f>
        <v>0</v>
      </c>
      <c r="S158" s="259">
        <f>'[1]13. Sociálna starostlivosť'!$P$17</f>
        <v>0</v>
      </c>
      <c r="T158" s="260">
        <f>SUM(U158:W158)</f>
        <v>55040</v>
      </c>
      <c r="U158" s="258">
        <f>'[1]13. Sociálna starostlivosť'!$Q$17</f>
        <v>44040</v>
      </c>
      <c r="V158" s="258">
        <f>'[1]13. Sociálna starostlivosť'!$R$17</f>
        <v>11000</v>
      </c>
      <c r="W158" s="259">
        <f>'[1]13. Sociálna starostlivosť'!$S$17</f>
        <v>0</v>
      </c>
      <c r="X158" s="260">
        <f>SUM(Y158:AA158)</f>
        <v>276970</v>
      </c>
      <c r="Y158" s="258">
        <f>'[1]13. Sociálna starostlivosť'!$T$17</f>
        <v>265970</v>
      </c>
      <c r="Z158" s="258">
        <f>'[1]13. Sociálna starostlivosť'!$U$17</f>
        <v>11000</v>
      </c>
      <c r="AA158" s="259">
        <f>'[1]13. Sociálna starostlivosť'!$V$17</f>
        <v>0</v>
      </c>
    </row>
    <row r="159" spans="1:27" ht="15.75" x14ac:dyDescent="0.25">
      <c r="A159" s="125"/>
      <c r="B159" s="273">
        <v>2</v>
      </c>
      <c r="C159" s="274" t="s">
        <v>350</v>
      </c>
      <c r="D159" s="260">
        <f t="shared" ref="D159:D161" si="326">SUM(E159:G159)</f>
        <v>56000</v>
      </c>
      <c r="E159" s="258">
        <f>'[1]13. Sociálna starostlivosť'!$E$21</f>
        <v>56000</v>
      </c>
      <c r="F159" s="258">
        <f>'[1]13. Sociálna starostlivosť'!$F$21</f>
        <v>0</v>
      </c>
      <c r="G159" s="259">
        <f>'[1]13. Sociálna starostlivosť'!$G$21</f>
        <v>0</v>
      </c>
      <c r="H159" s="260">
        <f t="shared" ref="H159:H161" si="327">SUM(I159:K159)</f>
        <v>58300</v>
      </c>
      <c r="I159" s="258">
        <f>'[1]13. Sociálna starostlivosť'!$H$21</f>
        <v>58300</v>
      </c>
      <c r="J159" s="258">
        <f>'[1]13. Sociálna starostlivosť'!$I$21</f>
        <v>0</v>
      </c>
      <c r="K159" s="259">
        <f>'[1]13. Sociálna starostlivosť'!$J$21</f>
        <v>0</v>
      </c>
      <c r="L159" s="260">
        <f t="shared" ref="L159:L161" si="328">SUM(M159:O159)</f>
        <v>63340</v>
      </c>
      <c r="M159" s="258">
        <f>'[1]13. Sociálna starostlivosť'!$K$21</f>
        <v>63340</v>
      </c>
      <c r="N159" s="258">
        <f>'[1]13. Sociálna starostlivosť'!$L$21</f>
        <v>0</v>
      </c>
      <c r="O159" s="259">
        <f>'[1]13. Sociálna starostlivosť'!$M$21</f>
        <v>0</v>
      </c>
      <c r="P159" s="260">
        <f t="shared" ref="P159:P161" si="329">SUM(Q159:S159)</f>
        <v>63340</v>
      </c>
      <c r="Q159" s="258">
        <f>'[1]13. Sociálna starostlivosť'!$N$21</f>
        <v>63340</v>
      </c>
      <c r="R159" s="258">
        <f>'[1]13. Sociálna starostlivosť'!$O$21</f>
        <v>0</v>
      </c>
      <c r="S159" s="259">
        <f>'[1]13. Sociálna starostlivosť'!$P$21</f>
        <v>0</v>
      </c>
      <c r="T159" s="260">
        <f t="shared" ref="T159:T161" si="330">SUM(U159:W159)</f>
        <v>-1510</v>
      </c>
      <c r="U159" s="258">
        <f>'[1]13. Sociálna starostlivosť'!$Q$21</f>
        <v>-1510</v>
      </c>
      <c r="V159" s="258">
        <f>'[1]13. Sociálna starostlivosť'!$R$21</f>
        <v>0</v>
      </c>
      <c r="W159" s="259">
        <f>'[1]13. Sociálna starostlivosť'!$S$21</f>
        <v>0</v>
      </c>
      <c r="X159" s="260">
        <f t="shared" ref="X159:X161" si="331">SUM(Y159:AA159)</f>
        <v>61830</v>
      </c>
      <c r="Y159" s="258">
        <f>'[1]13. Sociálna starostlivosť'!$T$21</f>
        <v>61830</v>
      </c>
      <c r="Z159" s="258">
        <f>'[1]13. Sociálna starostlivosť'!$U$21</f>
        <v>0</v>
      </c>
      <c r="AA159" s="259">
        <f>'[1]13. Sociálna starostlivosť'!$V$21</f>
        <v>0</v>
      </c>
    </row>
    <row r="160" spans="1:27" ht="15.75" x14ac:dyDescent="0.25">
      <c r="A160" s="125"/>
      <c r="B160" s="273">
        <v>3</v>
      </c>
      <c r="C160" s="274" t="s">
        <v>351</v>
      </c>
      <c r="D160" s="260">
        <f t="shared" si="326"/>
        <v>0</v>
      </c>
      <c r="E160" s="258">
        <f>'[1]13. Sociálna starostlivosť'!$E$24</f>
        <v>0</v>
      </c>
      <c r="F160" s="258">
        <f>'[1]13. Sociálna starostlivosť'!$F$24</f>
        <v>0</v>
      </c>
      <c r="G160" s="259">
        <f>'[1]13. Sociálna starostlivosť'!$G$24</f>
        <v>0</v>
      </c>
      <c r="H160" s="260">
        <f t="shared" si="327"/>
        <v>0</v>
      </c>
      <c r="I160" s="258">
        <f>'[1]13. Sociálna starostlivosť'!$H$24</f>
        <v>0</v>
      </c>
      <c r="J160" s="258">
        <f>'[1]13. Sociálna starostlivosť'!$I$24</f>
        <v>0</v>
      </c>
      <c r="K160" s="259">
        <f>'[1]13. Sociálna starostlivosť'!$J24</f>
        <v>0</v>
      </c>
      <c r="L160" s="260">
        <f t="shared" si="328"/>
        <v>0</v>
      </c>
      <c r="M160" s="258">
        <f>'[1]13. Sociálna starostlivosť'!$K$24</f>
        <v>0</v>
      </c>
      <c r="N160" s="258">
        <f>'[1]13. Sociálna starostlivosť'!$L$24</f>
        <v>0</v>
      </c>
      <c r="O160" s="259">
        <f>'[1]13. Sociálna starostlivosť'!$M24</f>
        <v>0</v>
      </c>
      <c r="P160" s="260">
        <f t="shared" si="329"/>
        <v>0</v>
      </c>
      <c r="Q160" s="258">
        <f>'[1]13. Sociálna starostlivosť'!$N$24</f>
        <v>0</v>
      </c>
      <c r="R160" s="258">
        <f>'[1]13. Sociálna starostlivosť'!$O$24</f>
        <v>0</v>
      </c>
      <c r="S160" s="259">
        <f>'[1]13. Sociálna starostlivosť'!$P24</f>
        <v>0</v>
      </c>
      <c r="T160" s="260">
        <f t="shared" si="330"/>
        <v>0</v>
      </c>
      <c r="U160" s="258">
        <f>'[1]13. Sociálna starostlivosť'!$Q$24</f>
        <v>0</v>
      </c>
      <c r="V160" s="258">
        <f>'[1]13. Sociálna starostlivosť'!$R$24</f>
        <v>0</v>
      </c>
      <c r="W160" s="259">
        <f>'[1]13. Sociálna starostlivosť'!$S24</f>
        <v>0</v>
      </c>
      <c r="X160" s="260">
        <f t="shared" si="331"/>
        <v>0</v>
      </c>
      <c r="Y160" s="258">
        <f>'[1]13. Sociálna starostlivosť'!$T$24</f>
        <v>0</v>
      </c>
      <c r="Z160" s="258">
        <f>'[1]13. Sociálna starostlivosť'!$U$24</f>
        <v>0</v>
      </c>
      <c r="AA160" s="259">
        <f>'[1]13. Sociálna starostlivosť'!$V$24</f>
        <v>0</v>
      </c>
    </row>
    <row r="161" spans="1:27" ht="15.75" x14ac:dyDescent="0.25">
      <c r="A161" s="125"/>
      <c r="B161" s="273">
        <v>4</v>
      </c>
      <c r="C161" s="274" t="s">
        <v>352</v>
      </c>
      <c r="D161" s="260">
        <f t="shared" si="326"/>
        <v>63515.03</v>
      </c>
      <c r="E161" s="258">
        <f>'[1]13. Sociálna starostlivosť'!$E$26</f>
        <v>63515.03</v>
      </c>
      <c r="F161" s="258">
        <f>'[1]13. Sociálna starostlivosť'!$F$26</f>
        <v>0</v>
      </c>
      <c r="G161" s="259">
        <f>'[1]13. Sociálna starostlivosť'!$G$26</f>
        <v>0</v>
      </c>
      <c r="H161" s="260">
        <f t="shared" si="327"/>
        <v>82144.39</v>
      </c>
      <c r="I161" s="258">
        <f>'[1]13. Sociálna starostlivosť'!$H$26</f>
        <v>82144.39</v>
      </c>
      <c r="J161" s="258">
        <f>'[1]13. Sociálna starostlivosť'!$I$26</f>
        <v>0</v>
      </c>
      <c r="K161" s="259">
        <f>'[1]13. Sociálna starostlivosť'!$J$26</f>
        <v>0</v>
      </c>
      <c r="L161" s="260">
        <f t="shared" si="328"/>
        <v>84630</v>
      </c>
      <c r="M161" s="258">
        <f>'[1]13. Sociálna starostlivosť'!$K$26</f>
        <v>84630</v>
      </c>
      <c r="N161" s="258">
        <f>'[1]13. Sociálna starostlivosť'!$L$26</f>
        <v>0</v>
      </c>
      <c r="O161" s="259">
        <f>'[1]13. Sociálna starostlivosť'!$M$26</f>
        <v>0</v>
      </c>
      <c r="P161" s="260">
        <f t="shared" si="329"/>
        <v>84630</v>
      </c>
      <c r="Q161" s="258">
        <f>'[1]13. Sociálna starostlivosť'!$N$26</f>
        <v>84630</v>
      </c>
      <c r="R161" s="258">
        <f>'[1]13. Sociálna starostlivosť'!$O$26</f>
        <v>0</v>
      </c>
      <c r="S161" s="259">
        <f>'[1]13. Sociálna starostlivosť'!$P$26</f>
        <v>0</v>
      </c>
      <c r="T161" s="260">
        <f t="shared" si="330"/>
        <v>-3980</v>
      </c>
      <c r="U161" s="258">
        <f>'[1]13. Sociálna starostlivosť'!$Q$26</f>
        <v>-3980</v>
      </c>
      <c r="V161" s="258">
        <f>'[1]13. Sociálna starostlivosť'!$R$26</f>
        <v>0</v>
      </c>
      <c r="W161" s="259">
        <f>'[1]13. Sociálna starostlivosť'!$S$26</f>
        <v>0</v>
      </c>
      <c r="X161" s="260">
        <f t="shared" si="331"/>
        <v>80650</v>
      </c>
      <c r="Y161" s="258">
        <f>'[1]13. Sociálna starostlivosť'!$T$26</f>
        <v>80650</v>
      </c>
      <c r="Z161" s="258">
        <f>'[1]13. Sociálna starostlivosť'!$U$26</f>
        <v>0</v>
      </c>
      <c r="AA161" s="259">
        <f>'[1]13. Sociálna starostlivosť'!$V$26</f>
        <v>0</v>
      </c>
    </row>
    <row r="162" spans="1:27" ht="15.75" x14ac:dyDescent="0.25">
      <c r="A162" s="122"/>
      <c r="B162" s="285" t="s">
        <v>353</v>
      </c>
      <c r="C162" s="274" t="s">
        <v>354</v>
      </c>
      <c r="D162" s="260">
        <f t="shared" ref="D162:G162" si="332">SUM(D163:D166)</f>
        <v>1323420.3399999999</v>
      </c>
      <c r="E162" s="258">
        <f t="shared" si="332"/>
        <v>1306044.3399999999</v>
      </c>
      <c r="F162" s="258">
        <f t="shared" si="332"/>
        <v>17376</v>
      </c>
      <c r="G162" s="259">
        <f t="shared" si="332"/>
        <v>0</v>
      </c>
      <c r="H162" s="260">
        <f t="shared" ref="H162:K162" si="333">SUM(H163:H166)</f>
        <v>1428859.63</v>
      </c>
      <c r="I162" s="258">
        <f t="shared" si="333"/>
        <v>1428859.63</v>
      </c>
      <c r="J162" s="258">
        <f t="shared" si="333"/>
        <v>0</v>
      </c>
      <c r="K162" s="259">
        <f t="shared" si="333"/>
        <v>0</v>
      </c>
      <c r="L162" s="260">
        <f t="shared" ref="L162:O162" si="334">SUM(L163:L166)</f>
        <v>1664470</v>
      </c>
      <c r="M162" s="258">
        <f t="shared" si="334"/>
        <v>1654470</v>
      </c>
      <c r="N162" s="258">
        <f t="shared" si="334"/>
        <v>10000</v>
      </c>
      <c r="O162" s="259">
        <f t="shared" si="334"/>
        <v>0</v>
      </c>
      <c r="P162" s="260">
        <f t="shared" ref="P162:S162" si="335">SUM(P163:P166)</f>
        <v>1664470</v>
      </c>
      <c r="Q162" s="258">
        <f t="shared" si="335"/>
        <v>1654470</v>
      </c>
      <c r="R162" s="258">
        <f t="shared" si="335"/>
        <v>10000</v>
      </c>
      <c r="S162" s="259">
        <f t="shared" si="335"/>
        <v>0</v>
      </c>
      <c r="T162" s="260">
        <f t="shared" ref="T162:W162" si="336">SUM(T163:T166)</f>
        <v>46025</v>
      </c>
      <c r="U162" s="258">
        <f t="shared" si="336"/>
        <v>46025</v>
      </c>
      <c r="V162" s="258">
        <f t="shared" si="336"/>
        <v>0</v>
      </c>
      <c r="W162" s="259">
        <f t="shared" si="336"/>
        <v>0</v>
      </c>
      <c r="X162" s="260">
        <f t="shared" ref="X162:AA162" si="337">SUM(X163:X166)</f>
        <v>1710495</v>
      </c>
      <c r="Y162" s="258">
        <f t="shared" si="337"/>
        <v>1700495</v>
      </c>
      <c r="Z162" s="258">
        <f t="shared" si="337"/>
        <v>10000</v>
      </c>
      <c r="AA162" s="259">
        <f t="shared" si="337"/>
        <v>0</v>
      </c>
    </row>
    <row r="163" spans="1:27" ht="15.75" x14ac:dyDescent="0.25">
      <c r="B163" s="273">
        <v>1</v>
      </c>
      <c r="C163" s="274" t="s">
        <v>355</v>
      </c>
      <c r="D163" s="260">
        <f>SUM(E163:G163)</f>
        <v>41780</v>
      </c>
      <c r="E163" s="258">
        <f>'[1]13. Sociálna starostlivosť'!$E$30</f>
        <v>38204</v>
      </c>
      <c r="F163" s="258">
        <f>'[1]13. Sociálna starostlivosť'!$F$30</f>
        <v>3576</v>
      </c>
      <c r="G163" s="259">
        <f>'[1]13. Sociálna starostlivosť'!$G$30</f>
        <v>0</v>
      </c>
      <c r="H163" s="260">
        <f>SUM(I163:K163)</f>
        <v>54310</v>
      </c>
      <c r="I163" s="258">
        <f>'[1]13. Sociálna starostlivosť'!$H$30</f>
        <v>54310</v>
      </c>
      <c r="J163" s="258">
        <f>'[1]13. Sociálna starostlivosť'!$I$30</f>
        <v>0</v>
      </c>
      <c r="K163" s="259">
        <f>'[1]13. Sociálna starostlivosť'!$J$30</f>
        <v>0</v>
      </c>
      <c r="L163" s="260">
        <f>SUM(M163:O163)</f>
        <v>57400</v>
      </c>
      <c r="M163" s="258">
        <f>'[1]13. Sociálna starostlivosť'!$K$30</f>
        <v>57400</v>
      </c>
      <c r="N163" s="258">
        <f>'[1]13. Sociálna starostlivosť'!$L$30</f>
        <v>0</v>
      </c>
      <c r="O163" s="259">
        <f>'[1]13. Sociálna starostlivosť'!$M$30</f>
        <v>0</v>
      </c>
      <c r="P163" s="260">
        <f>SUM(Q163:S163)</f>
        <v>57400</v>
      </c>
      <c r="Q163" s="258">
        <f>'[1]13. Sociálna starostlivosť'!$N$30</f>
        <v>57400</v>
      </c>
      <c r="R163" s="258">
        <f>'[1]13. Sociálna starostlivosť'!$O$30</f>
        <v>0</v>
      </c>
      <c r="S163" s="259">
        <f>'[1]13. Sociálna starostlivosť'!$P$30</f>
        <v>0</v>
      </c>
      <c r="T163" s="260">
        <f>SUM(U163:W163)</f>
        <v>530</v>
      </c>
      <c r="U163" s="258">
        <f>'[1]13. Sociálna starostlivosť'!$Q$30</f>
        <v>530</v>
      </c>
      <c r="V163" s="258">
        <f>'[1]13. Sociálna starostlivosť'!$R$30</f>
        <v>0</v>
      </c>
      <c r="W163" s="259">
        <f>'[1]13. Sociálna starostlivosť'!$S$30</f>
        <v>0</v>
      </c>
      <c r="X163" s="260">
        <f>SUM(Y163:AA163)</f>
        <v>57930</v>
      </c>
      <c r="Y163" s="258">
        <f>'[1]13. Sociálna starostlivosť'!$T$30</f>
        <v>57930</v>
      </c>
      <c r="Z163" s="258">
        <f>'[1]13. Sociálna starostlivosť'!$U$30</f>
        <v>0</v>
      </c>
      <c r="AA163" s="259">
        <f>'[1]13. Sociálna starostlivosť'!$V$30</f>
        <v>0</v>
      </c>
    </row>
    <row r="164" spans="1:27" ht="15.75" x14ac:dyDescent="0.25">
      <c r="B164" s="273">
        <v>2</v>
      </c>
      <c r="C164" s="274" t="s">
        <v>677</v>
      </c>
      <c r="D164" s="260">
        <f t="shared" ref="D164:D166" si="338">SUM(E164:G164)</f>
        <v>0</v>
      </c>
      <c r="E164" s="258">
        <f>'[1]13. Sociálna starostlivosť'!$E$33</f>
        <v>0</v>
      </c>
      <c r="F164" s="258">
        <f>'[1]13. Sociálna starostlivosť'!$F$33</f>
        <v>0</v>
      </c>
      <c r="G164" s="259">
        <f>'[1]13. Sociálna starostlivosť'!$G$33</f>
        <v>0</v>
      </c>
      <c r="H164" s="260">
        <f t="shared" ref="H164:H166" si="339">SUM(I164:K164)</f>
        <v>0</v>
      </c>
      <c r="I164" s="258">
        <f>'[1]13. Sociálna starostlivosť'!$H$33</f>
        <v>0</v>
      </c>
      <c r="J164" s="258">
        <f>'[1]13. Sociálna starostlivosť'!$I$33</f>
        <v>0</v>
      </c>
      <c r="K164" s="259">
        <f>'[1]13. Sociálna starostlivosť'!$J$33</f>
        <v>0</v>
      </c>
      <c r="L164" s="260">
        <f t="shared" ref="L164:L166" si="340">SUM(M164:O164)</f>
        <v>0</v>
      </c>
      <c r="M164" s="258">
        <f>'[1]13. Sociálna starostlivosť'!$K$33</f>
        <v>0</v>
      </c>
      <c r="N164" s="258">
        <f>'[1]13. Sociálna starostlivosť'!$L$33</f>
        <v>0</v>
      </c>
      <c r="O164" s="259">
        <f>'[1]13. Sociálna starostlivosť'!$M$33</f>
        <v>0</v>
      </c>
      <c r="P164" s="260">
        <f t="shared" ref="P164:P166" si="341">SUM(Q164:S164)</f>
        <v>0</v>
      </c>
      <c r="Q164" s="258">
        <f>'[1]13. Sociálna starostlivosť'!$N$33</f>
        <v>0</v>
      </c>
      <c r="R164" s="258">
        <f>'[1]13. Sociálna starostlivosť'!$O$33</f>
        <v>0</v>
      </c>
      <c r="S164" s="259">
        <f>'[1]13. Sociálna starostlivosť'!$P$33</f>
        <v>0</v>
      </c>
      <c r="T164" s="260">
        <f t="shared" ref="T164:T166" si="342">SUM(U164:W164)</f>
        <v>0</v>
      </c>
      <c r="U164" s="258">
        <f>'[1]13. Sociálna starostlivosť'!$Q$33</f>
        <v>0</v>
      </c>
      <c r="V164" s="258">
        <f>'[1]13. Sociálna starostlivosť'!$R$33</f>
        <v>0</v>
      </c>
      <c r="W164" s="259">
        <f>'[1]13. Sociálna starostlivosť'!$S$33</f>
        <v>0</v>
      </c>
      <c r="X164" s="260">
        <f t="shared" ref="X164:X166" si="343">SUM(Y164:AA164)</f>
        <v>0</v>
      </c>
      <c r="Y164" s="258">
        <f>'[1]13. Sociálna starostlivosť'!$T$33</f>
        <v>0</v>
      </c>
      <c r="Z164" s="258">
        <f>'[1]13. Sociálna starostlivosť'!$U$33</f>
        <v>0</v>
      </c>
      <c r="AA164" s="259">
        <f>'[1]13. Sociálna starostlivosť'!$V$33</f>
        <v>0</v>
      </c>
    </row>
    <row r="165" spans="1:27" ht="15.75" x14ac:dyDescent="0.25">
      <c r="A165" s="125"/>
      <c r="B165" s="273">
        <v>3</v>
      </c>
      <c r="C165" s="274" t="s">
        <v>453</v>
      </c>
      <c r="D165" s="260">
        <f t="shared" si="338"/>
        <v>1086704.3399999999</v>
      </c>
      <c r="E165" s="258">
        <f>'[1]13. Sociálna starostlivosť'!$E$35</f>
        <v>1072904.3399999999</v>
      </c>
      <c r="F165" s="258">
        <f>'[1]13. Sociálna starostlivosť'!$F$35</f>
        <v>13800</v>
      </c>
      <c r="G165" s="259">
        <f>'[1]13. Sociálna starostlivosť'!$G$35</f>
        <v>0</v>
      </c>
      <c r="H165" s="260">
        <f t="shared" si="339"/>
        <v>1145685.6299999999</v>
      </c>
      <c r="I165" s="258">
        <f>'[1]13. Sociálna starostlivosť'!$H$35</f>
        <v>1145685.6299999999</v>
      </c>
      <c r="J165" s="258">
        <f>'[1]13. Sociálna starostlivosť'!$I$35</f>
        <v>0</v>
      </c>
      <c r="K165" s="259">
        <f>'[1]13. Sociálna starostlivosť'!$J$35</f>
        <v>0</v>
      </c>
      <c r="L165" s="260">
        <f t="shared" si="340"/>
        <v>1360000</v>
      </c>
      <c r="M165" s="258">
        <f>'[1]13. Sociálna starostlivosť'!$K$35</f>
        <v>1350000</v>
      </c>
      <c r="N165" s="258">
        <f>'[1]13. Sociálna starostlivosť'!$L$35</f>
        <v>10000</v>
      </c>
      <c r="O165" s="259">
        <f>'[1]13. Sociálna starostlivosť'!$M$35</f>
        <v>0</v>
      </c>
      <c r="P165" s="260">
        <f t="shared" si="341"/>
        <v>1360000</v>
      </c>
      <c r="Q165" s="258">
        <f>'[1]13. Sociálna starostlivosť'!$N$35</f>
        <v>1350000</v>
      </c>
      <c r="R165" s="258">
        <f>'[1]13. Sociálna starostlivosť'!$O$35</f>
        <v>10000</v>
      </c>
      <c r="S165" s="259">
        <f>'[1]13. Sociálna starostlivosť'!$P$35</f>
        <v>0</v>
      </c>
      <c r="T165" s="260">
        <f t="shared" si="342"/>
        <v>67045</v>
      </c>
      <c r="U165" s="258">
        <f>'[1]13. Sociálna starostlivosť'!$Q$35</f>
        <v>67045</v>
      </c>
      <c r="V165" s="258">
        <f>'[1]13. Sociálna starostlivosť'!$R$35</f>
        <v>0</v>
      </c>
      <c r="W165" s="259">
        <f>'[1]13. Sociálna starostlivosť'!$S$35</f>
        <v>0</v>
      </c>
      <c r="X165" s="260">
        <f t="shared" si="343"/>
        <v>1427045</v>
      </c>
      <c r="Y165" s="258">
        <f>'[1]13. Sociálna starostlivosť'!$T$35</f>
        <v>1417045</v>
      </c>
      <c r="Z165" s="258">
        <f>'[1]13. Sociálna starostlivosť'!$U$35</f>
        <v>10000</v>
      </c>
      <c r="AA165" s="259">
        <f>'[1]13. Sociálna starostlivosť'!$V$35</f>
        <v>0</v>
      </c>
    </row>
    <row r="166" spans="1:27" ht="15.75" x14ac:dyDescent="0.25">
      <c r="A166" s="125"/>
      <c r="B166" s="273">
        <v>4</v>
      </c>
      <c r="C166" s="274" t="s">
        <v>454</v>
      </c>
      <c r="D166" s="260">
        <f t="shared" si="338"/>
        <v>194936</v>
      </c>
      <c r="E166" s="258">
        <f>'[1]13. Sociálna starostlivosť'!$E$50</f>
        <v>194936</v>
      </c>
      <c r="F166" s="258">
        <f>'[1]13. Sociálna starostlivosť'!$F$50</f>
        <v>0</v>
      </c>
      <c r="G166" s="259">
        <f>'[1]13. Sociálna starostlivosť'!$G$50</f>
        <v>0</v>
      </c>
      <c r="H166" s="260">
        <f t="shared" si="339"/>
        <v>228864</v>
      </c>
      <c r="I166" s="258">
        <f>'[1]13. Sociálna starostlivosť'!$H$50</f>
        <v>228864</v>
      </c>
      <c r="J166" s="258">
        <f>'[1]13. Sociálna starostlivosť'!$I$50</f>
        <v>0</v>
      </c>
      <c r="K166" s="259">
        <f>'[1]13. Sociálna starostlivosť'!$J$50</f>
        <v>0</v>
      </c>
      <c r="L166" s="260">
        <f t="shared" si="340"/>
        <v>247070</v>
      </c>
      <c r="M166" s="258">
        <f>'[1]13. Sociálna starostlivosť'!$K$50</f>
        <v>247070</v>
      </c>
      <c r="N166" s="258">
        <f>'[1]13. Sociálna starostlivosť'!$L$50</f>
        <v>0</v>
      </c>
      <c r="O166" s="259">
        <f>'[1]13. Sociálna starostlivosť'!$M$50</f>
        <v>0</v>
      </c>
      <c r="P166" s="260">
        <f t="shared" si="341"/>
        <v>247070</v>
      </c>
      <c r="Q166" s="258">
        <f>'[1]13. Sociálna starostlivosť'!$N$50</f>
        <v>247070</v>
      </c>
      <c r="R166" s="258">
        <f>'[1]13. Sociálna starostlivosť'!$O$50</f>
        <v>0</v>
      </c>
      <c r="S166" s="259">
        <f>'[1]13. Sociálna starostlivosť'!$P$50</f>
        <v>0</v>
      </c>
      <c r="T166" s="260">
        <f t="shared" si="342"/>
        <v>-21550</v>
      </c>
      <c r="U166" s="258">
        <f>'[1]13. Sociálna starostlivosť'!$Q$50</f>
        <v>-21550</v>
      </c>
      <c r="V166" s="258">
        <f>'[1]13. Sociálna starostlivosť'!$R$50</f>
        <v>0</v>
      </c>
      <c r="W166" s="259">
        <f>'[1]13. Sociálna starostlivosť'!$S$50</f>
        <v>0</v>
      </c>
      <c r="X166" s="260">
        <f t="shared" si="343"/>
        <v>225520</v>
      </c>
      <c r="Y166" s="258">
        <f>'[1]13. Sociálna starostlivosť'!$T$50</f>
        <v>225520</v>
      </c>
      <c r="Z166" s="258">
        <f>'[1]13. Sociálna starostlivosť'!$U$50</f>
        <v>0</v>
      </c>
      <c r="AA166" s="259">
        <f>'[1]13. Sociálna starostlivosť'!$V$50</f>
        <v>0</v>
      </c>
    </row>
    <row r="167" spans="1:27" ht="15.75" x14ac:dyDescent="0.25">
      <c r="B167" s="285" t="s">
        <v>358</v>
      </c>
      <c r="C167" s="274" t="s">
        <v>359</v>
      </c>
      <c r="D167" s="260">
        <f t="shared" ref="D167:G167" si="344">SUM(D168:D170)</f>
        <v>128211.33000000002</v>
      </c>
      <c r="E167" s="258">
        <f t="shared" si="344"/>
        <v>107053.59</v>
      </c>
      <c r="F167" s="258">
        <f t="shared" si="344"/>
        <v>21157.74</v>
      </c>
      <c r="G167" s="259">
        <f t="shared" si="344"/>
        <v>0</v>
      </c>
      <c r="H167" s="260">
        <f t="shared" ref="H167:K167" si="345">SUM(H168:H170)</f>
        <v>124135</v>
      </c>
      <c r="I167" s="258">
        <f t="shared" si="345"/>
        <v>124135</v>
      </c>
      <c r="J167" s="258">
        <f t="shared" si="345"/>
        <v>0</v>
      </c>
      <c r="K167" s="259">
        <f t="shared" si="345"/>
        <v>0</v>
      </c>
      <c r="L167" s="260">
        <f t="shared" ref="L167:O167" si="346">SUM(L168:L170)</f>
        <v>157760</v>
      </c>
      <c r="M167" s="258">
        <f t="shared" si="346"/>
        <v>157760</v>
      </c>
      <c r="N167" s="258">
        <f t="shared" si="346"/>
        <v>0</v>
      </c>
      <c r="O167" s="259">
        <f t="shared" si="346"/>
        <v>0</v>
      </c>
      <c r="P167" s="260">
        <f t="shared" ref="P167:S167" si="347">SUM(P168:P170)</f>
        <v>174400</v>
      </c>
      <c r="Q167" s="258">
        <f t="shared" si="347"/>
        <v>157760</v>
      </c>
      <c r="R167" s="258">
        <f t="shared" si="347"/>
        <v>16640</v>
      </c>
      <c r="S167" s="259">
        <f t="shared" si="347"/>
        <v>0</v>
      </c>
      <c r="T167" s="260">
        <f t="shared" ref="T167:W167" si="348">SUM(T168:T170)</f>
        <v>-13640</v>
      </c>
      <c r="U167" s="258">
        <f t="shared" si="348"/>
        <v>-13640</v>
      </c>
      <c r="V167" s="258">
        <f t="shared" si="348"/>
        <v>0</v>
      </c>
      <c r="W167" s="259">
        <f t="shared" si="348"/>
        <v>0</v>
      </c>
      <c r="X167" s="260">
        <f t="shared" ref="X167:AA167" si="349">SUM(X168:X170)</f>
        <v>160760</v>
      </c>
      <c r="Y167" s="258">
        <f t="shared" si="349"/>
        <v>144120</v>
      </c>
      <c r="Z167" s="258">
        <f t="shared" si="349"/>
        <v>16640</v>
      </c>
      <c r="AA167" s="259">
        <f t="shared" si="349"/>
        <v>0</v>
      </c>
    </row>
    <row r="168" spans="1:27" ht="15.75" x14ac:dyDescent="0.25">
      <c r="B168" s="273">
        <v>1</v>
      </c>
      <c r="C168" s="274" t="s">
        <v>360</v>
      </c>
      <c r="D168" s="260">
        <f>SUM(E168:G168)</f>
        <v>71896.100000000006</v>
      </c>
      <c r="E168" s="258">
        <f>'[1]13. Sociálna starostlivosť'!$E$55</f>
        <v>50738.36</v>
      </c>
      <c r="F168" s="258">
        <f>'[1]13. Sociálna starostlivosť'!$F$55</f>
        <v>21157.74</v>
      </c>
      <c r="G168" s="259">
        <f>'[1]13. Sociálna starostlivosť'!$G$55</f>
        <v>0</v>
      </c>
      <c r="H168" s="260">
        <f>SUM(I168:K168)</f>
        <v>54770</v>
      </c>
      <c r="I168" s="258">
        <f>'[1]13. Sociálna starostlivosť'!$H$55</f>
        <v>54770</v>
      </c>
      <c r="J168" s="258">
        <f>'[1]13. Sociálna starostlivosť'!$I$55</f>
        <v>0</v>
      </c>
      <c r="K168" s="259">
        <f>'[1]13. Sociálna starostlivosť'!$J$55</f>
        <v>0</v>
      </c>
      <c r="L168" s="260">
        <f>SUM(M168:O168)</f>
        <v>58300</v>
      </c>
      <c r="M168" s="258">
        <f>'[1]13. Sociálna starostlivosť'!$K$55</f>
        <v>58300</v>
      </c>
      <c r="N168" s="258">
        <f>'[1]13. Sociálna starostlivosť'!$L$55</f>
        <v>0</v>
      </c>
      <c r="O168" s="259">
        <f>'[1]13. Sociálna starostlivosť'!$M$55</f>
        <v>0</v>
      </c>
      <c r="P168" s="260">
        <f>SUM(Q168:S168)</f>
        <v>74940</v>
      </c>
      <c r="Q168" s="258">
        <f>'[1]13. Sociálna starostlivosť'!$N$55</f>
        <v>58300</v>
      </c>
      <c r="R168" s="258">
        <f>'[1]13. Sociálna starostlivosť'!$O$55</f>
        <v>16640</v>
      </c>
      <c r="S168" s="259">
        <f>'[1]13. Sociálna starostlivosť'!$P$55</f>
        <v>0</v>
      </c>
      <c r="T168" s="260">
        <f>SUM(U168:W168)</f>
        <v>-620</v>
      </c>
      <c r="U168" s="258">
        <f>'[1]13. Sociálna starostlivosť'!$Q$55</f>
        <v>-620</v>
      </c>
      <c r="V168" s="258">
        <f>'[1]13. Sociálna starostlivosť'!$R$55</f>
        <v>0</v>
      </c>
      <c r="W168" s="259">
        <f>'[1]13. Sociálna starostlivosť'!$S$55</f>
        <v>0</v>
      </c>
      <c r="X168" s="260">
        <f>SUM(Y168:AA168)</f>
        <v>74320</v>
      </c>
      <c r="Y168" s="258">
        <f>'[1]13. Sociálna starostlivosť'!$T$55</f>
        <v>57680</v>
      </c>
      <c r="Z168" s="258">
        <f>'[1]13. Sociálna starostlivosť'!$U$55</f>
        <v>16640</v>
      </c>
      <c r="AA168" s="259">
        <f>'[1]13. Sociálna starostlivosť'!$V$55</f>
        <v>0</v>
      </c>
    </row>
    <row r="169" spans="1:27" ht="15.75" x14ac:dyDescent="0.25">
      <c r="B169" s="273">
        <v>2</v>
      </c>
      <c r="C169" s="274" t="s">
        <v>361</v>
      </c>
      <c r="D169" s="260">
        <f t="shared" ref="D169:D172" si="350">SUM(E169:G169)</f>
        <v>5160</v>
      </c>
      <c r="E169" s="258">
        <f>'[1]13. Sociálna starostlivosť'!$E$59</f>
        <v>5160</v>
      </c>
      <c r="F169" s="258">
        <f>'[1]13. Sociálna starostlivosť'!$F$59</f>
        <v>0</v>
      </c>
      <c r="G169" s="259">
        <f>'[1]13. Sociálna starostlivosť'!$G$59</f>
        <v>0</v>
      </c>
      <c r="H169" s="260">
        <f t="shared" ref="H169:H172" si="351">SUM(I169:K169)</f>
        <v>11180</v>
      </c>
      <c r="I169" s="258">
        <f>'[1]13. Sociálna starostlivosť'!$H$59</f>
        <v>11180</v>
      </c>
      <c r="J169" s="258">
        <f>'[1]13. Sociálna starostlivosť'!$I$59</f>
        <v>0</v>
      </c>
      <c r="K169" s="259">
        <f>'[1]13. Sociálna starostlivosť'!$J$59</f>
        <v>0</v>
      </c>
      <c r="L169" s="260">
        <f t="shared" ref="L169:L172" si="352">SUM(M169:O169)</f>
        <v>38710</v>
      </c>
      <c r="M169" s="258">
        <f>'[1]13. Sociálna starostlivosť'!$K$59</f>
        <v>38710</v>
      </c>
      <c r="N169" s="258">
        <f>'[1]13. Sociálna starostlivosť'!$L$59</f>
        <v>0</v>
      </c>
      <c r="O169" s="259">
        <f>'[1]13. Sociálna starostlivosť'!$M$59</f>
        <v>0</v>
      </c>
      <c r="P169" s="260">
        <f t="shared" ref="P169:P172" si="353">SUM(Q169:S169)</f>
        <v>38710</v>
      </c>
      <c r="Q169" s="258">
        <f>'[1]13. Sociálna starostlivosť'!$N$59</f>
        <v>38710</v>
      </c>
      <c r="R169" s="258">
        <f>'[1]13. Sociálna starostlivosť'!$O$59</f>
        <v>0</v>
      </c>
      <c r="S169" s="259">
        <f>'[1]13. Sociálna starostlivosť'!$P$59</f>
        <v>0</v>
      </c>
      <c r="T169" s="260">
        <f t="shared" ref="T169:T172" si="354">SUM(U169:W169)</f>
        <v>-14280</v>
      </c>
      <c r="U169" s="258">
        <f>'[1]13. Sociálna starostlivosť'!$Q$59</f>
        <v>-14280</v>
      </c>
      <c r="V169" s="258">
        <f>'[1]13. Sociálna starostlivosť'!$R$59</f>
        <v>0</v>
      </c>
      <c r="W169" s="259">
        <f>'[1]13. Sociálna starostlivosť'!$S$59</f>
        <v>0</v>
      </c>
      <c r="X169" s="260">
        <f t="shared" ref="X169:X172" si="355">SUM(Y169:AA169)</f>
        <v>24430</v>
      </c>
      <c r="Y169" s="258">
        <f>'[1]13. Sociálna starostlivosť'!$T$59</f>
        <v>24430</v>
      </c>
      <c r="Z169" s="258">
        <f>'[1]13. Sociálna starostlivosť'!$U$59</f>
        <v>0</v>
      </c>
      <c r="AA169" s="259">
        <f>'[1]13. Sociálna starostlivosť'!$V$59</f>
        <v>0</v>
      </c>
    </row>
    <row r="170" spans="1:27" ht="15.75" x14ac:dyDescent="0.25">
      <c r="B170" s="273">
        <v>3</v>
      </c>
      <c r="C170" s="274" t="s">
        <v>362</v>
      </c>
      <c r="D170" s="260">
        <f t="shared" si="350"/>
        <v>51155.23</v>
      </c>
      <c r="E170" s="258">
        <f>'[1]13. Sociálna starostlivosť'!$E$62</f>
        <v>51155.23</v>
      </c>
      <c r="F170" s="258">
        <f>'[1]13. Sociálna starostlivosť'!$F$62</f>
        <v>0</v>
      </c>
      <c r="G170" s="259">
        <f>'[1]13. Sociálna starostlivosť'!$G$62</f>
        <v>0</v>
      </c>
      <c r="H170" s="260">
        <f t="shared" si="351"/>
        <v>58185</v>
      </c>
      <c r="I170" s="258">
        <f>'[1]13. Sociálna starostlivosť'!$H$62</f>
        <v>58185</v>
      </c>
      <c r="J170" s="258">
        <f>'[1]13. Sociálna starostlivosť'!$I$62</f>
        <v>0</v>
      </c>
      <c r="K170" s="259">
        <f>'[1]13. Sociálna starostlivosť'!$J$62</f>
        <v>0</v>
      </c>
      <c r="L170" s="260">
        <f t="shared" si="352"/>
        <v>60750</v>
      </c>
      <c r="M170" s="258">
        <f>'[1]13. Sociálna starostlivosť'!$K$62</f>
        <v>60750</v>
      </c>
      <c r="N170" s="258">
        <f>'[1]13. Sociálna starostlivosť'!$L$62</f>
        <v>0</v>
      </c>
      <c r="O170" s="259">
        <f>'[1]13. Sociálna starostlivosť'!$M$62</f>
        <v>0</v>
      </c>
      <c r="P170" s="260">
        <f t="shared" si="353"/>
        <v>60750</v>
      </c>
      <c r="Q170" s="258">
        <f>'[1]13. Sociálna starostlivosť'!$N$62</f>
        <v>60750</v>
      </c>
      <c r="R170" s="258">
        <f>'[1]13. Sociálna starostlivosť'!$O$62</f>
        <v>0</v>
      </c>
      <c r="S170" s="259">
        <f>'[1]13. Sociálna starostlivosť'!$P$62</f>
        <v>0</v>
      </c>
      <c r="T170" s="260">
        <f t="shared" si="354"/>
        <v>1260</v>
      </c>
      <c r="U170" s="258">
        <f>'[1]13. Sociálna starostlivosť'!$Q$62</f>
        <v>1260</v>
      </c>
      <c r="V170" s="258">
        <f>'[1]13. Sociálna starostlivosť'!$R$62</f>
        <v>0</v>
      </c>
      <c r="W170" s="259">
        <f>'[1]13. Sociálna starostlivosť'!$S$62</f>
        <v>0</v>
      </c>
      <c r="X170" s="260">
        <f t="shared" si="355"/>
        <v>62010</v>
      </c>
      <c r="Y170" s="258">
        <f>'[1]13. Sociálna starostlivosť'!$T$62</f>
        <v>62010</v>
      </c>
      <c r="Z170" s="258">
        <f>'[1]13. Sociálna starostlivosť'!$U$62</f>
        <v>0</v>
      </c>
      <c r="AA170" s="259">
        <f>'[1]13. Sociálna starostlivosť'!$V$62</f>
        <v>0</v>
      </c>
    </row>
    <row r="171" spans="1:27" ht="15.75" x14ac:dyDescent="0.25">
      <c r="B171" s="285" t="s">
        <v>363</v>
      </c>
      <c r="C171" s="274" t="s">
        <v>364</v>
      </c>
      <c r="D171" s="260">
        <f t="shared" si="350"/>
        <v>5230</v>
      </c>
      <c r="E171" s="258">
        <f>'[1]13. Sociálna starostlivosť'!$E$65</f>
        <v>5230</v>
      </c>
      <c r="F171" s="258">
        <f>'[1]13. Sociálna starostlivosť'!$F$65</f>
        <v>0</v>
      </c>
      <c r="G171" s="259">
        <f>'[1]13. Sociálna starostlivosť'!$G$65</f>
        <v>0</v>
      </c>
      <c r="H171" s="260">
        <f t="shared" si="351"/>
        <v>5720</v>
      </c>
      <c r="I171" s="258">
        <f>'[1]13. Sociálna starostlivosť'!$H$65</f>
        <v>5720</v>
      </c>
      <c r="J171" s="258">
        <f>'[1]13. Sociálna starostlivosť'!$I$65</f>
        <v>0</v>
      </c>
      <c r="K171" s="259">
        <f>'[1]13. Sociálna starostlivosť'!$J$65</f>
        <v>0</v>
      </c>
      <c r="L171" s="260">
        <f t="shared" si="352"/>
        <v>7810</v>
      </c>
      <c r="M171" s="258">
        <f>'[1]13. Sociálna starostlivosť'!$K$65</f>
        <v>7810</v>
      </c>
      <c r="N171" s="258">
        <f>'[1]13. Sociálna starostlivosť'!$L$65</f>
        <v>0</v>
      </c>
      <c r="O171" s="259">
        <f>'[1]13. Sociálna starostlivosť'!$M$65</f>
        <v>0</v>
      </c>
      <c r="P171" s="260">
        <f t="shared" si="353"/>
        <v>7810</v>
      </c>
      <c r="Q171" s="258">
        <f>'[1]13. Sociálna starostlivosť'!$N$65</f>
        <v>7810</v>
      </c>
      <c r="R171" s="258">
        <f>'[1]13. Sociálna starostlivosť'!$O$65</f>
        <v>0</v>
      </c>
      <c r="S171" s="259">
        <f>'[1]13. Sociálna starostlivosť'!$P$65</f>
        <v>0</v>
      </c>
      <c r="T171" s="260">
        <f t="shared" si="354"/>
        <v>-420</v>
      </c>
      <c r="U171" s="258">
        <f>'[1]13. Sociálna starostlivosť'!$Q$65</f>
        <v>-420</v>
      </c>
      <c r="V171" s="258">
        <f>'[1]13. Sociálna starostlivosť'!$R$65</f>
        <v>0</v>
      </c>
      <c r="W171" s="259">
        <f>'[1]13. Sociálna starostlivosť'!$S$65</f>
        <v>0</v>
      </c>
      <c r="X171" s="260">
        <f t="shared" si="355"/>
        <v>7390</v>
      </c>
      <c r="Y171" s="258">
        <f>'[1]13. Sociálna starostlivosť'!$T$65</f>
        <v>7390</v>
      </c>
      <c r="Z171" s="258">
        <f>'[1]13. Sociálna starostlivosť'!$U$65</f>
        <v>0</v>
      </c>
      <c r="AA171" s="259">
        <f>'[1]13. Sociálna starostlivosť'!$V$65</f>
        <v>0</v>
      </c>
    </row>
    <row r="172" spans="1:27" ht="15.75" x14ac:dyDescent="0.25">
      <c r="A172" s="124"/>
      <c r="B172" s="285" t="s">
        <v>365</v>
      </c>
      <c r="C172" s="274" t="s">
        <v>366</v>
      </c>
      <c r="D172" s="260">
        <f t="shared" si="350"/>
        <v>937.47</v>
      </c>
      <c r="E172" s="258">
        <f>'[1]13. Sociálna starostlivosť'!$E$67</f>
        <v>937.47</v>
      </c>
      <c r="F172" s="258">
        <f>'[1]13. Sociálna starostlivosť'!$F$67</f>
        <v>0</v>
      </c>
      <c r="G172" s="259">
        <f>'[1]13. Sociálna starostlivosť'!$G$67</f>
        <v>0</v>
      </c>
      <c r="H172" s="260">
        <f t="shared" si="351"/>
        <v>938.66</v>
      </c>
      <c r="I172" s="258">
        <f>'[1]13. Sociálna starostlivosť'!$H$67</f>
        <v>938.66</v>
      </c>
      <c r="J172" s="258">
        <f>'[1]13. Sociálna starostlivosť'!$I$67</f>
        <v>0</v>
      </c>
      <c r="K172" s="259">
        <f>'[1]13. Sociálna starostlivosť'!$J$67</f>
        <v>0</v>
      </c>
      <c r="L172" s="260">
        <f t="shared" si="352"/>
        <v>1000</v>
      </c>
      <c r="M172" s="258">
        <f>'[1]13. Sociálna starostlivosť'!$K$67</f>
        <v>1000</v>
      </c>
      <c r="N172" s="258">
        <f>'[1]13. Sociálna starostlivosť'!$L$67</f>
        <v>0</v>
      </c>
      <c r="O172" s="259">
        <f>'[1]13. Sociálna starostlivosť'!$M$67</f>
        <v>0</v>
      </c>
      <c r="P172" s="260">
        <f t="shared" si="353"/>
        <v>1000</v>
      </c>
      <c r="Q172" s="258">
        <f>'[1]13. Sociálna starostlivosť'!$N$67</f>
        <v>1000</v>
      </c>
      <c r="R172" s="258">
        <f>'[1]13. Sociálna starostlivosť'!$O$67</f>
        <v>0</v>
      </c>
      <c r="S172" s="259">
        <f>'[1]13. Sociálna starostlivosť'!$P$67</f>
        <v>0</v>
      </c>
      <c r="T172" s="260">
        <f t="shared" si="354"/>
        <v>0</v>
      </c>
      <c r="U172" s="258">
        <f>'[1]13. Sociálna starostlivosť'!$Q$67</f>
        <v>0</v>
      </c>
      <c r="V172" s="258">
        <f>'[1]13. Sociálna starostlivosť'!$R$67</f>
        <v>0</v>
      </c>
      <c r="W172" s="259">
        <f>'[1]13. Sociálna starostlivosť'!$S$67</f>
        <v>0</v>
      </c>
      <c r="X172" s="260">
        <f t="shared" si="355"/>
        <v>1000</v>
      </c>
      <c r="Y172" s="258">
        <f>'[1]13. Sociálna starostlivosť'!$T$67</f>
        <v>1000</v>
      </c>
      <c r="Z172" s="258">
        <f>'[1]13. Sociálna starostlivosť'!$U$67</f>
        <v>0</v>
      </c>
      <c r="AA172" s="259">
        <f>'[1]13. Sociálna starostlivosť'!$V$67</f>
        <v>0</v>
      </c>
    </row>
    <row r="173" spans="1:27" ht="15.75" x14ac:dyDescent="0.25">
      <c r="B173" s="296" t="s">
        <v>367</v>
      </c>
      <c r="C173" s="290" t="s">
        <v>368</v>
      </c>
      <c r="D173" s="260">
        <f t="shared" ref="D173:AA173" si="356">SUM(D174)</f>
        <v>33271.42</v>
      </c>
      <c r="E173" s="258">
        <f t="shared" si="356"/>
        <v>33271.42</v>
      </c>
      <c r="F173" s="258">
        <f t="shared" si="356"/>
        <v>0</v>
      </c>
      <c r="G173" s="259">
        <f t="shared" si="356"/>
        <v>0</v>
      </c>
      <c r="H173" s="260">
        <f t="shared" si="356"/>
        <v>30191.899999999998</v>
      </c>
      <c r="I173" s="258">
        <f t="shared" si="356"/>
        <v>30191.899999999998</v>
      </c>
      <c r="J173" s="258">
        <f t="shared" si="356"/>
        <v>0</v>
      </c>
      <c r="K173" s="259">
        <f t="shared" si="356"/>
        <v>0</v>
      </c>
      <c r="L173" s="260">
        <f t="shared" si="356"/>
        <v>45500</v>
      </c>
      <c r="M173" s="258">
        <f t="shared" si="356"/>
        <v>45500</v>
      </c>
      <c r="N173" s="258">
        <f t="shared" si="356"/>
        <v>0</v>
      </c>
      <c r="O173" s="259">
        <f t="shared" si="356"/>
        <v>0</v>
      </c>
      <c r="P173" s="260">
        <f t="shared" si="356"/>
        <v>45500</v>
      </c>
      <c r="Q173" s="258">
        <f t="shared" si="356"/>
        <v>45500</v>
      </c>
      <c r="R173" s="258">
        <f t="shared" si="356"/>
        <v>0</v>
      </c>
      <c r="S173" s="259">
        <f t="shared" si="356"/>
        <v>0</v>
      </c>
      <c r="T173" s="260">
        <f t="shared" si="356"/>
        <v>0</v>
      </c>
      <c r="U173" s="258">
        <f t="shared" si="356"/>
        <v>0</v>
      </c>
      <c r="V173" s="258">
        <f t="shared" si="356"/>
        <v>0</v>
      </c>
      <c r="W173" s="259">
        <f t="shared" si="356"/>
        <v>0</v>
      </c>
      <c r="X173" s="260">
        <f t="shared" si="356"/>
        <v>45500</v>
      </c>
      <c r="Y173" s="258">
        <f t="shared" si="356"/>
        <v>45500</v>
      </c>
      <c r="Z173" s="258">
        <f t="shared" si="356"/>
        <v>0</v>
      </c>
      <c r="AA173" s="259">
        <f t="shared" si="356"/>
        <v>0</v>
      </c>
    </row>
    <row r="174" spans="1:27" ht="15.75" x14ac:dyDescent="0.25">
      <c r="B174" s="297">
        <v>1</v>
      </c>
      <c r="C174" s="298" t="s">
        <v>369</v>
      </c>
      <c r="D174" s="260">
        <f>SUM(E174:G174)</f>
        <v>33271.42</v>
      </c>
      <c r="E174" s="258">
        <f>'[1]13. Sociálna starostlivosť'!$E$79</f>
        <v>33271.42</v>
      </c>
      <c r="F174" s="258">
        <f>'[1]13. Sociálna starostlivosť'!$F$79</f>
        <v>0</v>
      </c>
      <c r="G174" s="259">
        <f>'[1]13. Sociálna starostlivosť'!$G$79</f>
        <v>0</v>
      </c>
      <c r="H174" s="260">
        <f>SUM(I174:K174)</f>
        <v>30191.899999999998</v>
      </c>
      <c r="I174" s="258">
        <f>'[1]13. Sociálna starostlivosť'!$H$79</f>
        <v>30191.899999999998</v>
      </c>
      <c r="J174" s="258">
        <f>'[1]13. Sociálna starostlivosť'!$I$79</f>
        <v>0</v>
      </c>
      <c r="K174" s="259">
        <f>'[1]13. Sociálna starostlivosť'!$J$79</f>
        <v>0</v>
      </c>
      <c r="L174" s="260">
        <f>SUM(M174:O174)</f>
        <v>45500</v>
      </c>
      <c r="M174" s="258">
        <f>'[1]13. Sociálna starostlivosť'!$K$79</f>
        <v>45500</v>
      </c>
      <c r="N174" s="258">
        <f>'[1]13. Sociálna starostlivosť'!$L$79</f>
        <v>0</v>
      </c>
      <c r="O174" s="259">
        <f>'[1]13. Sociálna starostlivosť'!$M$79</f>
        <v>0</v>
      </c>
      <c r="P174" s="260">
        <f>SUM(Q174:S174)</f>
        <v>45500</v>
      </c>
      <c r="Q174" s="258">
        <f>'[1]13. Sociálna starostlivosť'!$N$79</f>
        <v>45500</v>
      </c>
      <c r="R174" s="258">
        <f>'[1]13. Sociálna starostlivosť'!$O$79</f>
        <v>0</v>
      </c>
      <c r="S174" s="259">
        <f>'[1]13. Sociálna starostlivosť'!$P$79</f>
        <v>0</v>
      </c>
      <c r="T174" s="260">
        <f>SUM(U174:W174)</f>
        <v>0</v>
      </c>
      <c r="U174" s="258">
        <f>'[1]13. Sociálna starostlivosť'!$Q$79</f>
        <v>0</v>
      </c>
      <c r="V174" s="258">
        <f>'[1]13. Sociálna starostlivosť'!$R$79</f>
        <v>0</v>
      </c>
      <c r="W174" s="259">
        <f>'[1]13. Sociálna starostlivosť'!$S$79</f>
        <v>0</v>
      </c>
      <c r="X174" s="260">
        <f>SUM(Y174:AA174)</f>
        <v>45500</v>
      </c>
      <c r="Y174" s="258">
        <f>'[1]13. Sociálna starostlivosť'!$T$79</f>
        <v>45500</v>
      </c>
      <c r="Z174" s="258">
        <f>'[1]13. Sociálna starostlivosť'!$U$79</f>
        <v>0</v>
      </c>
      <c r="AA174" s="259">
        <f>'[1]13. Sociálna starostlivosť'!$V$79</f>
        <v>0</v>
      </c>
    </row>
    <row r="175" spans="1:27" ht="15.75" x14ac:dyDescent="0.25">
      <c r="A175" s="124"/>
      <c r="B175" s="299" t="s">
        <v>370</v>
      </c>
      <c r="C175" s="298" t="s">
        <v>371</v>
      </c>
      <c r="D175" s="260">
        <f t="shared" ref="D175:D176" si="357">SUM(E175:G175)</f>
        <v>2500</v>
      </c>
      <c r="E175" s="258">
        <f>'[1]13. Sociálna starostlivosť'!$E$105</f>
        <v>2500</v>
      </c>
      <c r="F175" s="258">
        <f>'[1]13. Sociálna starostlivosť'!$F$105</f>
        <v>0</v>
      </c>
      <c r="G175" s="259">
        <f>'[1]13. Sociálna starostlivosť'!$G$105</f>
        <v>0</v>
      </c>
      <c r="H175" s="260">
        <f t="shared" ref="H175:H176" si="358">SUM(I175:K175)</f>
        <v>4500</v>
      </c>
      <c r="I175" s="258">
        <f>'[1]13. Sociálna starostlivosť'!$H$105</f>
        <v>4500</v>
      </c>
      <c r="J175" s="258">
        <f>'[1]13. Sociálna starostlivosť'!$I$105</f>
        <v>0</v>
      </c>
      <c r="K175" s="259">
        <f>'[1]13. Sociálna starostlivosť'!$J$105</f>
        <v>0</v>
      </c>
      <c r="L175" s="260">
        <f t="shared" ref="L175:L176" si="359">SUM(M175:O175)</f>
        <v>3000</v>
      </c>
      <c r="M175" s="258">
        <f>'[1]13. Sociálna starostlivosť'!$K$105</f>
        <v>3000</v>
      </c>
      <c r="N175" s="258">
        <f>'[1]13. Sociálna starostlivosť'!$L$105</f>
        <v>0</v>
      </c>
      <c r="O175" s="259">
        <f>'[1]13. Sociálna starostlivosť'!$M$105</f>
        <v>0</v>
      </c>
      <c r="P175" s="260">
        <f t="shared" ref="P175:P176" si="360">SUM(Q175:S175)</f>
        <v>3000</v>
      </c>
      <c r="Q175" s="258">
        <f>'[1]13. Sociálna starostlivosť'!$N$105</f>
        <v>3000</v>
      </c>
      <c r="R175" s="258">
        <f>'[1]13. Sociálna starostlivosť'!$O$105</f>
        <v>0</v>
      </c>
      <c r="S175" s="259">
        <f>'[1]13. Sociálna starostlivosť'!$P$105</f>
        <v>0</v>
      </c>
      <c r="T175" s="260">
        <f t="shared" ref="T175:T176" si="361">SUM(U175:W175)</f>
        <v>25000</v>
      </c>
      <c r="U175" s="258">
        <f>'[1]13. Sociálna starostlivosť'!$Q$105</f>
        <v>25000</v>
      </c>
      <c r="V175" s="258">
        <f>'[1]13. Sociálna starostlivosť'!$R$105</f>
        <v>0</v>
      </c>
      <c r="W175" s="259">
        <f>'[1]13. Sociálna starostlivosť'!$S$105</f>
        <v>0</v>
      </c>
      <c r="X175" s="260">
        <f t="shared" ref="X175:X176" si="362">SUM(Y175:AA175)</f>
        <v>28000</v>
      </c>
      <c r="Y175" s="258">
        <f>'[1]13. Sociálna starostlivosť'!$T$105</f>
        <v>28000</v>
      </c>
      <c r="Z175" s="258">
        <f>'[1]13. Sociálna starostlivosť'!$U$105</f>
        <v>0</v>
      </c>
      <c r="AA175" s="259">
        <f>'[1]13. Sociálna starostlivosť'!$V$105</f>
        <v>0</v>
      </c>
    </row>
    <row r="176" spans="1:27" ht="15.75" x14ac:dyDescent="0.25">
      <c r="A176" s="124"/>
      <c r="B176" s="600" t="s">
        <v>394</v>
      </c>
      <c r="C176" s="601" t="s">
        <v>395</v>
      </c>
      <c r="D176" s="260">
        <f t="shared" si="357"/>
        <v>132562.10999999999</v>
      </c>
      <c r="E176" s="258">
        <f>'[1]13. Sociálna starostlivosť'!$E$107</f>
        <v>132562.10999999999</v>
      </c>
      <c r="F176" s="258">
        <f>'[1]13. Sociálna starostlivosť'!$F$107</f>
        <v>0</v>
      </c>
      <c r="G176" s="259">
        <f>'[1]13. Sociálna starostlivosť'!$G$107</f>
        <v>0</v>
      </c>
      <c r="H176" s="260">
        <f t="shared" si="358"/>
        <v>158133.21</v>
      </c>
      <c r="I176" s="258">
        <f>'[1]13. Sociálna starostlivosť'!$H$107</f>
        <v>158133.21</v>
      </c>
      <c r="J176" s="258">
        <f>'[1]13. Sociálna starostlivosť'!$I$107</f>
        <v>0</v>
      </c>
      <c r="K176" s="259">
        <f>'[1]13. Sociálna starostlivosť'!$J$107</f>
        <v>0</v>
      </c>
      <c r="L176" s="260">
        <f t="shared" si="359"/>
        <v>151630</v>
      </c>
      <c r="M176" s="258">
        <f>'[1]13. Sociálna starostlivosť'!$K$107</f>
        <v>151630</v>
      </c>
      <c r="N176" s="258">
        <f>'[1]13. Sociálna starostlivosť'!$L$107</f>
        <v>0</v>
      </c>
      <c r="O176" s="259">
        <f>'[1]13. Sociálna starostlivosť'!$M$107</f>
        <v>0</v>
      </c>
      <c r="P176" s="260">
        <f t="shared" si="360"/>
        <v>151630</v>
      </c>
      <c r="Q176" s="258">
        <f>'[1]13. Sociálna starostlivosť'!$N$107</f>
        <v>151630</v>
      </c>
      <c r="R176" s="258">
        <f>'[1]13. Sociálna starostlivosť'!$O$107</f>
        <v>0</v>
      </c>
      <c r="S176" s="259">
        <f>'[1]13. Sociálna starostlivosť'!$P$107</f>
        <v>0</v>
      </c>
      <c r="T176" s="260">
        <f t="shared" si="361"/>
        <v>-13300</v>
      </c>
      <c r="U176" s="258">
        <f>'[1]13. Sociálna starostlivosť'!$Q$107</f>
        <v>-13300</v>
      </c>
      <c r="V176" s="258">
        <f>'[1]13. Sociálna starostlivosť'!$R$107</f>
        <v>0</v>
      </c>
      <c r="W176" s="259">
        <f>'[1]13. Sociálna starostlivosť'!$S$107</f>
        <v>0</v>
      </c>
      <c r="X176" s="260">
        <f t="shared" si="362"/>
        <v>138330</v>
      </c>
      <c r="Y176" s="258">
        <f>'[1]13. Sociálna starostlivosť'!$T$107</f>
        <v>138330</v>
      </c>
      <c r="Z176" s="258">
        <f>'[1]13. Sociálna starostlivosť'!$U$107</f>
        <v>0</v>
      </c>
      <c r="AA176" s="259">
        <f>'[1]13. Sociálna starostlivosť'!$V$107</f>
        <v>0</v>
      </c>
    </row>
    <row r="177" spans="1:27" ht="16.5" thickBot="1" x14ac:dyDescent="0.3">
      <c r="A177" s="124"/>
      <c r="B177" s="287" t="s">
        <v>654</v>
      </c>
      <c r="C177" s="335" t="s">
        <v>655</v>
      </c>
      <c r="D177" s="349">
        <f>SUM(E177:G177)</f>
        <v>0</v>
      </c>
      <c r="E177" s="599">
        <f>'[1]13. Sociálna starostlivosť'!$E$113</f>
        <v>0</v>
      </c>
      <c r="F177" s="599">
        <f>'[1]13. Sociálna starostlivosť'!$F$113</f>
        <v>0</v>
      </c>
      <c r="G177" s="599">
        <f>'[1]13. Sociálna starostlivosť'!$G$113</f>
        <v>0</v>
      </c>
      <c r="H177" s="349">
        <f>SUM(I177:K177)</f>
        <v>212291.65</v>
      </c>
      <c r="I177" s="599">
        <f>'[1]13. Sociálna starostlivosť'!$H$113</f>
        <v>206205.65</v>
      </c>
      <c r="J177" s="599">
        <f>'[1]13. Sociálna starostlivosť'!$I$113</f>
        <v>0</v>
      </c>
      <c r="K177" s="599">
        <f>'[1]13. Sociálna starostlivosť'!$J$113</f>
        <v>6086</v>
      </c>
      <c r="L177" s="349">
        <f>SUM(M177:O177)</f>
        <v>100000</v>
      </c>
      <c r="M177" s="599">
        <f>'[1]13. Sociálna starostlivosť'!$K$113</f>
        <v>100000</v>
      </c>
      <c r="N177" s="599">
        <f>'[1]13. Sociálna starostlivosť'!$L$113</f>
        <v>0</v>
      </c>
      <c r="O177" s="599">
        <f>'[1]13. Sociálna starostlivosť'!$M$113</f>
        <v>0</v>
      </c>
      <c r="P177" s="349">
        <f>SUM(Q177:S177)</f>
        <v>100000</v>
      </c>
      <c r="Q177" s="599">
        <f>'[1]13. Sociálna starostlivosť'!$N$113</f>
        <v>100000</v>
      </c>
      <c r="R177" s="599">
        <f>'[1]13. Sociálna starostlivosť'!$O$113</f>
        <v>0</v>
      </c>
      <c r="S177" s="599">
        <f>'[1]13. Sociálna starostlivosť'!$P$113</f>
        <v>0</v>
      </c>
      <c r="T177" s="349">
        <f>SUM(U177:W177)</f>
        <v>457150</v>
      </c>
      <c r="U177" s="599">
        <f>'[1]13. Sociálna starostlivosť'!$Q$113</f>
        <v>450000</v>
      </c>
      <c r="V177" s="599">
        <f>'[1]13. Sociálna starostlivosť'!$R$113</f>
        <v>0</v>
      </c>
      <c r="W177" s="599">
        <f>'[1]13. Sociálna starostlivosť'!$S$113</f>
        <v>7150</v>
      </c>
      <c r="X177" s="349">
        <f>SUM(Y177:AA177)</f>
        <v>557150</v>
      </c>
      <c r="Y177" s="599">
        <f>'[1]13. Sociálna starostlivosť'!$T$113</f>
        <v>550000</v>
      </c>
      <c r="Z177" s="599">
        <f>'[1]13. Sociálna starostlivosť'!$U$113</f>
        <v>0</v>
      </c>
      <c r="AA177" s="599">
        <f>'[1]13. Sociálna starostlivosť'!$V$113</f>
        <v>7150</v>
      </c>
    </row>
    <row r="178" spans="1:27" s="123" customFormat="1" ht="17.25" thickBot="1" x14ac:dyDescent="0.35">
      <c r="A178" s="125"/>
      <c r="B178" s="300" t="s">
        <v>372</v>
      </c>
      <c r="C178" s="301"/>
      <c r="D178" s="338">
        <f>SUM(E178:G178)</f>
        <v>731585.97000000009</v>
      </c>
      <c r="E178" s="339">
        <f>'[1]14. Bývanie'!$E$24</f>
        <v>523549.99000000011</v>
      </c>
      <c r="F178" s="339">
        <f>'[1]14. Bývanie'!$F$24</f>
        <v>0</v>
      </c>
      <c r="G178" s="340">
        <f>'[1]14. Bývanie'!$G$24</f>
        <v>208035.98</v>
      </c>
      <c r="H178" s="338">
        <f>SUM(I178:K178)</f>
        <v>807681.73</v>
      </c>
      <c r="I178" s="339">
        <f>'[1]14. Bývanie'!$H$24</f>
        <v>589949.69000000006</v>
      </c>
      <c r="J178" s="339">
        <f>'[1]14. Bývanie'!$I$24</f>
        <v>0</v>
      </c>
      <c r="K178" s="340">
        <f>'[1]14. Bývanie'!$J$24</f>
        <v>217732.03999999998</v>
      </c>
      <c r="L178" s="338">
        <f>SUM(M178:O178)</f>
        <v>860990</v>
      </c>
      <c r="M178" s="339">
        <f>'[1]14. Bývanie'!$K$24</f>
        <v>652040</v>
      </c>
      <c r="N178" s="339">
        <f>'[1]14. Bývanie'!$L$24</f>
        <v>0</v>
      </c>
      <c r="O178" s="340">
        <f>'[1]14. Bývanie'!$M$24</f>
        <v>208950</v>
      </c>
      <c r="P178" s="338">
        <f>SUM(Q178:S178)</f>
        <v>860990</v>
      </c>
      <c r="Q178" s="339">
        <f>'[1]14. Bývanie'!$N$24</f>
        <v>652040</v>
      </c>
      <c r="R178" s="339">
        <f>'[1]14. Bývanie'!$O$24</f>
        <v>0</v>
      </c>
      <c r="S178" s="340">
        <f>'[1]14. Bývanie'!$P$24</f>
        <v>208950</v>
      </c>
      <c r="T178" s="338">
        <f>SUM(U178:W178)</f>
        <v>0</v>
      </c>
      <c r="U178" s="339">
        <f>'[1]14. Bývanie'!$Q$24</f>
        <v>0</v>
      </c>
      <c r="V178" s="339">
        <f>'[1]14. Bývanie'!$R$24</f>
        <v>0</v>
      </c>
      <c r="W178" s="340">
        <f>'[1]14. Bývanie'!$S$24</f>
        <v>0</v>
      </c>
      <c r="X178" s="338">
        <f>SUM(Y178:AA178)</f>
        <v>860990</v>
      </c>
      <c r="Y178" s="339">
        <f>'[1]14. Bývanie'!$T$24</f>
        <v>652040</v>
      </c>
      <c r="Z178" s="339">
        <f>'[1]14. Bývanie'!$U$24</f>
        <v>0</v>
      </c>
      <c r="AA178" s="340">
        <f>'[1]14. Bývanie'!$V$24</f>
        <v>208950</v>
      </c>
    </row>
    <row r="179" spans="1:27" s="123" customFormat="1" ht="15.75" x14ac:dyDescent="0.25">
      <c r="A179" s="125"/>
      <c r="B179" s="277" t="s">
        <v>373</v>
      </c>
      <c r="C179" s="284"/>
      <c r="D179" s="266">
        <f t="shared" ref="D179:G179" si="363">SUM(D180:D182)</f>
        <v>2038720.4100000011</v>
      </c>
      <c r="E179" s="267">
        <f t="shared" si="363"/>
        <v>2038720.4100000011</v>
      </c>
      <c r="F179" s="267">
        <f t="shared" si="363"/>
        <v>0</v>
      </c>
      <c r="G179" s="268">
        <f t="shared" si="363"/>
        <v>0</v>
      </c>
      <c r="H179" s="266">
        <f t="shared" ref="H179:K179" si="364">SUM(H180:H182)</f>
        <v>3064151.49</v>
      </c>
      <c r="I179" s="267">
        <f t="shared" si="364"/>
        <v>2297540.6</v>
      </c>
      <c r="J179" s="267">
        <f t="shared" si="364"/>
        <v>0</v>
      </c>
      <c r="K179" s="268">
        <f t="shared" si="364"/>
        <v>766610.89</v>
      </c>
      <c r="L179" s="266">
        <f t="shared" ref="L179:O179" si="365">SUM(L180:L182)</f>
        <v>4323750</v>
      </c>
      <c r="M179" s="267">
        <f t="shared" si="365"/>
        <v>2584250</v>
      </c>
      <c r="N179" s="267">
        <f t="shared" si="365"/>
        <v>791700</v>
      </c>
      <c r="O179" s="268">
        <f t="shared" si="365"/>
        <v>947800</v>
      </c>
      <c r="P179" s="266">
        <f t="shared" ref="P179:S179" si="366">SUM(P180:P182)</f>
        <v>4299110</v>
      </c>
      <c r="Q179" s="267">
        <f t="shared" si="366"/>
        <v>2581250</v>
      </c>
      <c r="R179" s="267">
        <f t="shared" si="366"/>
        <v>770060</v>
      </c>
      <c r="S179" s="268">
        <f t="shared" si="366"/>
        <v>947800</v>
      </c>
      <c r="T179" s="266">
        <f t="shared" ref="T179:W179" si="367">SUM(T180:T182)</f>
        <v>17140</v>
      </c>
      <c r="U179" s="267">
        <f t="shared" si="367"/>
        <v>62200</v>
      </c>
      <c r="V179" s="267">
        <f t="shared" si="367"/>
        <v>-45060</v>
      </c>
      <c r="W179" s="268">
        <f t="shared" si="367"/>
        <v>0</v>
      </c>
      <c r="X179" s="266">
        <f t="shared" ref="X179:AA179" si="368">SUM(X180:X182)</f>
        <v>4316250</v>
      </c>
      <c r="Y179" s="267">
        <f t="shared" si="368"/>
        <v>2643450</v>
      </c>
      <c r="Z179" s="267">
        <f t="shared" si="368"/>
        <v>725000</v>
      </c>
      <c r="AA179" s="268">
        <f t="shared" si="368"/>
        <v>947800</v>
      </c>
    </row>
    <row r="180" spans="1:27" ht="15.75" x14ac:dyDescent="0.25">
      <c r="B180" s="299" t="s">
        <v>415</v>
      </c>
      <c r="C180" s="298" t="s">
        <v>420</v>
      </c>
      <c r="D180" s="260">
        <f>SUM(E180:G180)</f>
        <v>2029801.040000001</v>
      </c>
      <c r="E180" s="258">
        <f>'[1]15. Administratíva'!$E$4</f>
        <v>2029801.040000001</v>
      </c>
      <c r="F180" s="258">
        <f>'[1]15. Administratíva'!$F$4</f>
        <v>0</v>
      </c>
      <c r="G180" s="259">
        <f>'[1]15. Administratíva'!$G$4</f>
        <v>0</v>
      </c>
      <c r="H180" s="260">
        <f>SUM(I180:K180)</f>
        <v>2280802.67</v>
      </c>
      <c r="I180" s="258">
        <f>'[1]15. Administratíva'!$H$4</f>
        <v>2280802.67</v>
      </c>
      <c r="J180" s="258">
        <f>'[1]15. Administratíva'!$I$4</f>
        <v>0</v>
      </c>
      <c r="K180" s="259">
        <f>'[1]15. Administratíva'!$J$4</f>
        <v>0</v>
      </c>
      <c r="L180" s="260">
        <f>SUM(M180:O180)</f>
        <v>3193950</v>
      </c>
      <c r="M180" s="258">
        <f>'[1]15. Administratíva'!$K$4</f>
        <v>2402250</v>
      </c>
      <c r="N180" s="258">
        <f>'[1]15. Administratíva'!$L$4</f>
        <v>791700</v>
      </c>
      <c r="O180" s="259">
        <f>'[1]15. Administratíva'!$M$4</f>
        <v>0</v>
      </c>
      <c r="P180" s="260">
        <f>SUM(Q180:S180)</f>
        <v>3169310</v>
      </c>
      <c r="Q180" s="258">
        <f>'[1]15. Administratíva'!$N$4</f>
        <v>2399250</v>
      </c>
      <c r="R180" s="258">
        <f>'[1]15. Administratíva'!$O$4</f>
        <v>770060</v>
      </c>
      <c r="S180" s="259">
        <f>'[1]15. Administratíva'!$P$4</f>
        <v>0</v>
      </c>
      <c r="T180" s="260">
        <f>SUM(U180:W180)</f>
        <v>17140</v>
      </c>
      <c r="U180" s="258">
        <f>'[1]15. Administratíva'!$Q$4</f>
        <v>62200</v>
      </c>
      <c r="V180" s="258">
        <f>'[1]15. Administratíva'!$R$4</f>
        <v>-45060</v>
      </c>
      <c r="W180" s="259">
        <f>'[1]15. Administratíva'!$S$4</f>
        <v>0</v>
      </c>
      <c r="X180" s="260">
        <f>SUM(Y180:AA180)</f>
        <v>3186450</v>
      </c>
      <c r="Y180" s="258">
        <f>'[1]15. Administratíva'!$T$4</f>
        <v>2461450</v>
      </c>
      <c r="Z180" s="258">
        <f>'[1]15. Administratíva'!$U$4</f>
        <v>725000</v>
      </c>
      <c r="AA180" s="259">
        <f>'[1]15. Administratíva'!$V$4</f>
        <v>0</v>
      </c>
    </row>
    <row r="181" spans="1:27" ht="15.75" x14ac:dyDescent="0.25">
      <c r="B181" s="299" t="s">
        <v>416</v>
      </c>
      <c r="C181" s="298" t="s">
        <v>418</v>
      </c>
      <c r="D181" s="260">
        <f t="shared" ref="D181:D182" si="369">SUM(E181:G181)</f>
        <v>0</v>
      </c>
      <c r="E181" s="258">
        <f>'[1]15. Administratíva'!$E$101</f>
        <v>0</v>
      </c>
      <c r="F181" s="258">
        <f>'[1]15. Administratíva'!$F$101</f>
        <v>0</v>
      </c>
      <c r="G181" s="259">
        <f>'[1]15. Administratíva'!$G$101</f>
        <v>0</v>
      </c>
      <c r="H181" s="260">
        <f t="shared" ref="H181:H182" si="370">SUM(I181:K181)</f>
        <v>0</v>
      </c>
      <c r="I181" s="258">
        <f>'[1]15. Administratíva'!$H$101</f>
        <v>0</v>
      </c>
      <c r="J181" s="258">
        <f>'[1]15. Administratíva'!$I$101</f>
        <v>0</v>
      </c>
      <c r="K181" s="259">
        <f>'[1]15. Administratíva'!$J$101</f>
        <v>0</v>
      </c>
      <c r="L181" s="260">
        <f t="shared" ref="L181:L182" si="371">SUM(M181:O181)</f>
        <v>0</v>
      </c>
      <c r="M181" s="258">
        <f>'[1]15. Administratíva'!$K$101</f>
        <v>0</v>
      </c>
      <c r="N181" s="258">
        <f>'[1]15. Administratíva'!$L$101</f>
        <v>0</v>
      </c>
      <c r="O181" s="259">
        <f>'[1]15. Administratíva'!$M$101</f>
        <v>0</v>
      </c>
      <c r="P181" s="260">
        <f t="shared" ref="P181:P182" si="372">SUM(Q181:S181)</f>
        <v>0</v>
      </c>
      <c r="Q181" s="258">
        <f>'[1]15. Administratíva'!$N$101</f>
        <v>0</v>
      </c>
      <c r="R181" s="258">
        <f>'[1]15. Administratíva'!$O$101</f>
        <v>0</v>
      </c>
      <c r="S181" s="259">
        <f>'[1]15. Administratíva'!$P$101</f>
        <v>0</v>
      </c>
      <c r="T181" s="260">
        <f t="shared" ref="T181:T182" si="373">SUM(U181:W181)</f>
        <v>0</v>
      </c>
      <c r="U181" s="258">
        <f>'[1]15. Administratíva'!$Q$101</f>
        <v>0</v>
      </c>
      <c r="V181" s="258">
        <f>'[1]15. Administratíva'!$R$101</f>
        <v>0</v>
      </c>
      <c r="W181" s="259">
        <f>'[1]15. Administratíva'!$S$101</f>
        <v>0</v>
      </c>
      <c r="X181" s="260">
        <f t="shared" ref="X181:X182" si="374">SUM(Y181:AA181)</f>
        <v>0</v>
      </c>
      <c r="Y181" s="258">
        <f>'[1]15. Administratíva'!$T$101</f>
        <v>0</v>
      </c>
      <c r="Z181" s="258">
        <f>'[1]15. Administratíva'!$U$101</f>
        <v>0</v>
      </c>
      <c r="AA181" s="259">
        <f>'[1]15. Administratíva'!$V$101</f>
        <v>0</v>
      </c>
    </row>
    <row r="182" spans="1:27" ht="16.5" thickBot="1" x14ac:dyDescent="0.3">
      <c r="A182" s="124"/>
      <c r="B182" s="302" t="s">
        <v>417</v>
      </c>
      <c r="C182" s="298" t="s">
        <v>419</v>
      </c>
      <c r="D182" s="265">
        <f t="shared" si="369"/>
        <v>8919.3700000000008</v>
      </c>
      <c r="E182" s="352">
        <f>'[1]15. Administratíva'!$E$102</f>
        <v>8919.3700000000008</v>
      </c>
      <c r="F182" s="352">
        <f>'[1]15. Administratíva'!$F$102</f>
        <v>0</v>
      </c>
      <c r="G182" s="353">
        <f>'[1]15. Administratíva'!$G$102</f>
        <v>0</v>
      </c>
      <c r="H182" s="265">
        <f t="shared" si="370"/>
        <v>783348.82000000007</v>
      </c>
      <c r="I182" s="352">
        <f>'[1]15. Administratíva'!$H$102</f>
        <v>16737.93</v>
      </c>
      <c r="J182" s="352">
        <f>'[1]15. Administratíva'!$I$102</f>
        <v>0</v>
      </c>
      <c r="K182" s="353">
        <f>'[1]15. Administratíva'!$J$102</f>
        <v>766610.89</v>
      </c>
      <c r="L182" s="265">
        <f t="shared" si="371"/>
        <v>1129800</v>
      </c>
      <c r="M182" s="352">
        <f>'[1]15. Administratíva'!$K$102</f>
        <v>182000</v>
      </c>
      <c r="N182" s="352">
        <f>'[1]15. Administratíva'!$L$102</f>
        <v>0</v>
      </c>
      <c r="O182" s="353">
        <f>'[1]15. Administratíva'!$M$102</f>
        <v>947800</v>
      </c>
      <c r="P182" s="265">
        <f t="shared" si="372"/>
        <v>1129800</v>
      </c>
      <c r="Q182" s="352">
        <f>'[1]15. Administratíva'!$N$102</f>
        <v>182000</v>
      </c>
      <c r="R182" s="352">
        <f>'[1]15. Administratíva'!$O$102</f>
        <v>0</v>
      </c>
      <c r="S182" s="353">
        <f>'[1]15. Administratíva'!$P$102</f>
        <v>947800</v>
      </c>
      <c r="T182" s="265">
        <f t="shared" si="373"/>
        <v>0</v>
      </c>
      <c r="U182" s="352">
        <f>'[1]15. Administratíva'!$Q$102</f>
        <v>0</v>
      </c>
      <c r="V182" s="352">
        <f>'[1]15. Administratíva'!$R$102</f>
        <v>0</v>
      </c>
      <c r="W182" s="353">
        <f>'[1]15. Administratíva'!$S$102</f>
        <v>0</v>
      </c>
      <c r="X182" s="265">
        <f t="shared" si="374"/>
        <v>1129800</v>
      </c>
      <c r="Y182" s="352">
        <f>'[1]15. Administratíva'!$T$102</f>
        <v>182000</v>
      </c>
      <c r="Z182" s="352">
        <f>'[1]15. Administratíva'!$U$102</f>
        <v>0</v>
      </c>
      <c r="AA182" s="353">
        <f>'[1]15. Administratíva'!$V$102</f>
        <v>947800</v>
      </c>
    </row>
    <row r="185" spans="1:27" x14ac:dyDescent="0.2">
      <c r="A185" s="124"/>
    </row>
    <row r="191" spans="1:27" x14ac:dyDescent="0.2">
      <c r="A191" s="124"/>
    </row>
    <row r="192" spans="1:27" x14ac:dyDescent="0.2">
      <c r="A192" s="124"/>
    </row>
    <row r="194" spans="1:1" x14ac:dyDescent="0.2">
      <c r="A194" s="102"/>
    </row>
    <row r="195" spans="1:1" x14ac:dyDescent="0.2">
      <c r="A195" s="102"/>
    </row>
    <row r="196" spans="1:1" x14ac:dyDescent="0.2">
      <c r="A196" s="102"/>
    </row>
    <row r="197" spans="1:1" x14ac:dyDescent="0.2">
      <c r="A197" s="102"/>
    </row>
    <row r="198" spans="1:1" x14ac:dyDescent="0.2">
      <c r="A198" s="102"/>
    </row>
    <row r="199" spans="1:1" x14ac:dyDescent="0.2">
      <c r="A199" s="102"/>
    </row>
    <row r="200" spans="1:1" x14ac:dyDescent="0.2">
      <c r="A200" s="102"/>
    </row>
    <row r="201" spans="1:1" x14ac:dyDescent="0.2">
      <c r="A201" s="124"/>
    </row>
  </sheetData>
  <sheetProtection selectLockedCells="1" selectUnlockedCells="1"/>
  <mergeCells count="8">
    <mergeCell ref="B1:AA2"/>
    <mergeCell ref="X3:AA4"/>
    <mergeCell ref="B4:C5"/>
    <mergeCell ref="T3:W4"/>
    <mergeCell ref="L3:O4"/>
    <mergeCell ref="P3:S4"/>
    <mergeCell ref="D3:G4"/>
    <mergeCell ref="H3:K4"/>
  </mergeCells>
  <phoneticPr fontId="0" type="noConversion"/>
  <pageMargins left="0" right="0" top="0" bottom="0" header="0.51181102362204722" footer="0.51181102362204722"/>
  <pageSetup paperSize="8" scale="31" firstPageNumber="0" fitToHeight="3" orientation="landscape" r:id="rId1"/>
  <headerFooter alignWithMargins="0">
    <oddFooter>&amp;CStránka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9"/>
  <sheetViews>
    <sheetView zoomScale="80" zoomScaleNormal="80" workbookViewId="0">
      <pane xSplit="3" ySplit="1" topLeftCell="D8" activePane="bottomRight" state="frozen"/>
      <selection pane="topRight" activeCell="D1" sqref="D1"/>
      <selection pane="bottomLeft" activeCell="A2" sqref="A2"/>
      <selection pane="bottomRight" activeCell="D6" sqref="D6"/>
    </sheetView>
  </sheetViews>
  <sheetFormatPr defaultColWidth="34.28515625" defaultRowHeight="12.75" x14ac:dyDescent="0.2"/>
  <cols>
    <col min="1" max="1" width="25.140625" style="101" customWidth="1"/>
    <col min="2" max="2" width="27.140625" style="101" customWidth="1"/>
    <col min="3" max="3" width="18.5703125" style="101" customWidth="1"/>
    <col min="4" max="4" width="20.5703125" style="330" customWidth="1"/>
    <col min="5" max="8" width="20.5703125" style="102" customWidth="1"/>
    <col min="9" max="9" width="20.5703125" style="101" customWidth="1"/>
    <col min="10" max="10" width="38.140625" style="101" customWidth="1"/>
    <col min="11" max="11" width="15.5703125" style="101" bestFit="1" customWidth="1"/>
    <col min="12" max="21" width="15.5703125" style="101" customWidth="1"/>
    <col min="22" max="251" width="9.140625" style="101" customWidth="1"/>
    <col min="252" max="16384" width="34.28515625" style="101"/>
  </cols>
  <sheetData>
    <row r="1" spans="1:10" ht="20.25" x14ac:dyDescent="0.3">
      <c r="A1" s="755" t="s">
        <v>704</v>
      </c>
      <c r="B1" s="755"/>
      <c r="C1" s="755"/>
      <c r="D1" s="755"/>
      <c r="E1" s="755"/>
      <c r="F1" s="755"/>
      <c r="G1" s="755"/>
      <c r="H1" s="755"/>
      <c r="I1" s="755"/>
    </row>
    <row r="2" spans="1:10" ht="13.5" thickBot="1" x14ac:dyDescent="0.25"/>
    <row r="3" spans="1:10" ht="57" customHeight="1" thickBot="1" x14ac:dyDescent="0.3">
      <c r="A3" s="749" t="s">
        <v>402</v>
      </c>
      <c r="B3" s="750"/>
      <c r="C3" s="751"/>
      <c r="D3" s="395" t="s">
        <v>600</v>
      </c>
      <c r="E3" s="395" t="s">
        <v>649</v>
      </c>
      <c r="F3" s="319" t="s">
        <v>681</v>
      </c>
      <c r="G3" s="251" t="s">
        <v>678</v>
      </c>
      <c r="H3" s="251" t="s">
        <v>679</v>
      </c>
      <c r="I3" s="251" t="s">
        <v>680</v>
      </c>
    </row>
    <row r="4" spans="1:10" ht="20.25" customHeight="1" x14ac:dyDescent="0.25">
      <c r="A4" s="752" t="s">
        <v>403</v>
      </c>
      <c r="B4" s="753"/>
      <c r="C4" s="754"/>
      <c r="D4" s="396">
        <f>'príjmy '!B3</f>
        <v>20389361.02</v>
      </c>
      <c r="E4" s="318">
        <f>'príjmy '!C3</f>
        <v>22156124.279999997</v>
      </c>
      <c r="F4" s="318">
        <f>'príjmy '!D3</f>
        <v>24709550</v>
      </c>
      <c r="G4" s="318">
        <f>'príjmy '!E3</f>
        <v>24709550</v>
      </c>
      <c r="H4" s="318">
        <f>'príjmy '!F3</f>
        <v>1637728</v>
      </c>
      <c r="I4" s="318">
        <f>'príjmy '!G3</f>
        <v>26347278</v>
      </c>
    </row>
    <row r="5" spans="1:10" ht="21.75" customHeight="1" x14ac:dyDescent="0.25">
      <c r="A5" s="734" t="s">
        <v>404</v>
      </c>
      <c r="B5" s="735"/>
      <c r="C5" s="736"/>
      <c r="D5" s="397">
        <f>'výdavky '!E6</f>
        <v>19076711.210000001</v>
      </c>
      <c r="E5" s="117">
        <f>'výdavky '!I6</f>
        <v>21624169.140000004</v>
      </c>
      <c r="F5" s="117">
        <f>'výdavky '!M6</f>
        <v>24080845</v>
      </c>
      <c r="G5" s="117">
        <f>'výdavky '!Q6</f>
        <v>24064292</v>
      </c>
      <c r="H5" s="117">
        <f>'výdavky '!U6</f>
        <v>1608757</v>
      </c>
      <c r="I5" s="117">
        <f>'výdavky '!Y6</f>
        <v>25673049</v>
      </c>
    </row>
    <row r="6" spans="1:10" ht="21" customHeight="1" x14ac:dyDescent="0.25">
      <c r="A6" s="734" t="s">
        <v>379</v>
      </c>
      <c r="B6" s="735"/>
      <c r="C6" s="736"/>
      <c r="D6" s="397">
        <f t="shared" ref="D6" si="0">D4-D5</f>
        <v>1312649.8099999987</v>
      </c>
      <c r="E6" s="117">
        <f t="shared" ref="E6:H6" si="1">E4-E5</f>
        <v>531955.13999999315</v>
      </c>
      <c r="F6" s="117">
        <f t="shared" si="1"/>
        <v>628705</v>
      </c>
      <c r="G6" s="117">
        <f t="shared" si="1"/>
        <v>645258</v>
      </c>
      <c r="H6" s="117">
        <f t="shared" si="1"/>
        <v>28971</v>
      </c>
      <c r="I6" s="117">
        <f t="shared" ref="I6" si="2">I4-I5</f>
        <v>674229</v>
      </c>
    </row>
    <row r="7" spans="1:10" ht="18" x14ac:dyDescent="0.25">
      <c r="A7" s="734"/>
      <c r="B7" s="735"/>
      <c r="C7" s="736"/>
      <c r="D7" s="397"/>
      <c r="E7" s="117"/>
      <c r="F7" s="117"/>
      <c r="G7" s="117"/>
      <c r="H7" s="117"/>
      <c r="I7" s="117"/>
      <c r="J7" s="102"/>
    </row>
    <row r="8" spans="1:10" ht="21.75" customHeight="1" x14ac:dyDescent="0.25">
      <c r="A8" s="734" t="s">
        <v>397</v>
      </c>
      <c r="B8" s="735"/>
      <c r="C8" s="736"/>
      <c r="D8" s="397">
        <f>'príjmy '!B105</f>
        <v>844958.95</v>
      </c>
      <c r="E8" s="117">
        <f>'príjmy '!C105</f>
        <v>536086.52</v>
      </c>
      <c r="F8" s="117">
        <f>'príjmy '!D105</f>
        <v>6885615</v>
      </c>
      <c r="G8" s="117">
        <f>'príjmy '!E105</f>
        <v>6885615</v>
      </c>
      <c r="H8" s="117">
        <f>'príjmy '!F105</f>
        <v>-14518</v>
      </c>
      <c r="I8" s="117">
        <f>'príjmy '!G105</f>
        <v>6871097</v>
      </c>
    </row>
    <row r="9" spans="1:10" ht="21" customHeight="1" x14ac:dyDescent="0.25">
      <c r="A9" s="734" t="s">
        <v>398</v>
      </c>
      <c r="B9" s="735"/>
      <c r="C9" s="736"/>
      <c r="D9" s="397">
        <f>'výdavky '!F6</f>
        <v>2465491.37</v>
      </c>
      <c r="E9" s="117">
        <f>'výdavky '!J6</f>
        <v>3600923.2700000005</v>
      </c>
      <c r="F9" s="117">
        <f>'výdavky '!N6</f>
        <v>8701200</v>
      </c>
      <c r="G9" s="117">
        <f>'výdavky '!R6</f>
        <v>8717753</v>
      </c>
      <c r="H9" s="117">
        <f>'výdavky '!V6</f>
        <v>140905</v>
      </c>
      <c r="I9" s="117">
        <f>'výdavky '!Z6</f>
        <v>8858658</v>
      </c>
    </row>
    <row r="10" spans="1:10" ht="21.75" customHeight="1" x14ac:dyDescent="0.25">
      <c r="A10" s="734" t="s">
        <v>379</v>
      </c>
      <c r="B10" s="735"/>
      <c r="C10" s="736"/>
      <c r="D10" s="397">
        <f t="shared" ref="D10" si="3">D8-D9</f>
        <v>-1620532.4200000002</v>
      </c>
      <c r="E10" s="117">
        <f t="shared" ref="E10:H10" si="4">E8-E9</f>
        <v>-3064836.7500000005</v>
      </c>
      <c r="F10" s="117">
        <f t="shared" si="4"/>
        <v>-1815585</v>
      </c>
      <c r="G10" s="117">
        <f t="shared" si="4"/>
        <v>-1832138</v>
      </c>
      <c r="H10" s="117">
        <f t="shared" si="4"/>
        <v>-155423</v>
      </c>
      <c r="I10" s="117">
        <f t="shared" ref="I10" si="5">I8-I9</f>
        <v>-1987561</v>
      </c>
    </row>
    <row r="11" spans="1:10" ht="18" x14ac:dyDescent="0.25">
      <c r="A11" s="734"/>
      <c r="B11" s="735"/>
      <c r="C11" s="736"/>
      <c r="D11" s="397"/>
      <c r="E11" s="117"/>
      <c r="F11" s="117"/>
      <c r="G11" s="117"/>
      <c r="H11" s="117"/>
      <c r="I11" s="117"/>
    </row>
    <row r="12" spans="1:10" ht="22.5" customHeight="1" x14ac:dyDescent="0.25">
      <c r="A12" s="734" t="s">
        <v>399</v>
      </c>
      <c r="B12" s="735"/>
      <c r="C12" s="736"/>
      <c r="D12" s="397">
        <f>'príjmy '!B123</f>
        <v>2210581.17</v>
      </c>
      <c r="E12" s="117">
        <f>'príjmy '!C123</f>
        <v>4281692.7700000005</v>
      </c>
      <c r="F12" s="117">
        <f>'príjmy '!D123</f>
        <v>2343630</v>
      </c>
      <c r="G12" s="117">
        <f>'príjmy '!E123</f>
        <v>2343630</v>
      </c>
      <c r="H12" s="117">
        <f>'príjmy '!F123</f>
        <v>133602</v>
      </c>
      <c r="I12" s="117">
        <f>'príjmy '!G123</f>
        <v>2477232</v>
      </c>
    </row>
    <row r="13" spans="1:10" ht="22.5" customHeight="1" x14ac:dyDescent="0.25">
      <c r="A13" s="734" t="s">
        <v>400</v>
      </c>
      <c r="B13" s="735"/>
      <c r="C13" s="736"/>
      <c r="D13" s="397">
        <f>'výdavky '!G6</f>
        <v>212559.69</v>
      </c>
      <c r="E13" s="117">
        <f>'výdavky '!K6</f>
        <v>993541.5</v>
      </c>
      <c r="F13" s="117">
        <f>'výdavky '!O6</f>
        <v>1156750</v>
      </c>
      <c r="G13" s="117">
        <f>'výdavky '!S6</f>
        <v>1156750</v>
      </c>
      <c r="H13" s="117">
        <f>'výdavky '!W6</f>
        <v>7150</v>
      </c>
      <c r="I13" s="117">
        <f>'výdavky '!AA6</f>
        <v>1163900</v>
      </c>
    </row>
    <row r="14" spans="1:10" ht="18.75" thickBot="1" x14ac:dyDescent="0.3">
      <c r="A14" s="743" t="s">
        <v>379</v>
      </c>
      <c r="B14" s="744"/>
      <c r="C14" s="745"/>
      <c r="D14" s="398">
        <f t="shared" ref="D14" si="6">D12-D13</f>
        <v>1998021.48</v>
      </c>
      <c r="E14" s="120">
        <f t="shared" ref="E14:G14" si="7">E12-E13</f>
        <v>3288151.2700000005</v>
      </c>
      <c r="F14" s="120">
        <f t="shared" si="7"/>
        <v>1186880</v>
      </c>
      <c r="G14" s="120">
        <f t="shared" si="7"/>
        <v>1186880</v>
      </c>
      <c r="H14" s="120">
        <f t="shared" ref="H14" si="8">H12-H13</f>
        <v>126452</v>
      </c>
      <c r="I14" s="120">
        <f t="shared" ref="I14" si="9">I12-I13</f>
        <v>1313332</v>
      </c>
    </row>
    <row r="15" spans="1:10" ht="13.5" thickBot="1" x14ac:dyDescent="0.25">
      <c r="A15" s="111"/>
      <c r="B15" s="111"/>
      <c r="C15" s="111"/>
      <c r="I15" s="102"/>
    </row>
    <row r="16" spans="1:10" ht="22.5" customHeight="1" x14ac:dyDescent="0.3">
      <c r="A16" s="746" t="s">
        <v>130</v>
      </c>
      <c r="B16" s="747"/>
      <c r="C16" s="748"/>
      <c r="D16" s="399">
        <f t="shared" ref="D16:D17" si="10">D4+D8+D12</f>
        <v>23444901.140000001</v>
      </c>
      <c r="E16" s="256">
        <f t="shared" ref="E16:G16" si="11">E4+E8+E12</f>
        <v>26973903.569999997</v>
      </c>
      <c r="F16" s="256">
        <f t="shared" si="11"/>
        <v>33938795</v>
      </c>
      <c r="G16" s="256">
        <f t="shared" si="11"/>
        <v>33938795</v>
      </c>
      <c r="H16" s="256">
        <f t="shared" ref="H16" si="12">H4+H8+H12</f>
        <v>1756812</v>
      </c>
      <c r="I16" s="256">
        <f t="shared" ref="I16" si="13">I4+I8+I12</f>
        <v>35695607</v>
      </c>
    </row>
    <row r="17" spans="1:9" ht="27.75" customHeight="1" thickBot="1" x14ac:dyDescent="0.35">
      <c r="A17" s="737" t="s">
        <v>383</v>
      </c>
      <c r="B17" s="738"/>
      <c r="C17" s="739"/>
      <c r="D17" s="400">
        <f t="shared" si="10"/>
        <v>21754762.270000003</v>
      </c>
      <c r="E17" s="316">
        <f t="shared" ref="E17:G17" si="14">E5+E9+E13</f>
        <v>26218633.910000004</v>
      </c>
      <c r="F17" s="316">
        <f t="shared" si="14"/>
        <v>33938795</v>
      </c>
      <c r="G17" s="316">
        <f t="shared" si="14"/>
        <v>33938795</v>
      </c>
      <c r="H17" s="316">
        <f t="shared" ref="H17" si="15">H5+H9+H13</f>
        <v>1756812</v>
      </c>
      <c r="I17" s="316">
        <f t="shared" ref="I17" si="16">I5+I9+I13</f>
        <v>35695607</v>
      </c>
    </row>
    <row r="18" spans="1:9" ht="27" customHeight="1" thickBot="1" x14ac:dyDescent="0.35">
      <c r="A18" s="740" t="s">
        <v>384</v>
      </c>
      <c r="B18" s="741"/>
      <c r="C18" s="742"/>
      <c r="D18" s="401">
        <f t="shared" ref="D18" si="17">D16-D17</f>
        <v>1690138.8699999973</v>
      </c>
      <c r="E18" s="317">
        <f t="shared" ref="E18:G18" si="18">E16-E17</f>
        <v>755269.6599999927</v>
      </c>
      <c r="F18" s="317">
        <f t="shared" si="18"/>
        <v>0</v>
      </c>
      <c r="G18" s="317">
        <f t="shared" si="18"/>
        <v>0</v>
      </c>
      <c r="H18" s="317">
        <f t="shared" ref="H18" si="19">H16-H17</f>
        <v>0</v>
      </c>
      <c r="I18" s="317">
        <f t="shared" ref="I18" si="20">I16-I17</f>
        <v>0</v>
      </c>
    </row>
    <row r="19" spans="1:9" x14ac:dyDescent="0.2">
      <c r="I19" s="102"/>
    </row>
    <row r="20" spans="1:9" ht="13.5" thickBot="1" x14ac:dyDescent="0.25">
      <c r="I20" s="102"/>
    </row>
    <row r="21" spans="1:9" ht="20.25" x14ac:dyDescent="0.3">
      <c r="A21" s="708" t="s">
        <v>431</v>
      </c>
      <c r="B21" s="709"/>
      <c r="C21" s="710"/>
      <c r="D21" s="402">
        <f t="shared" ref="D21:D22" si="21">D4+D8</f>
        <v>21234319.969999999</v>
      </c>
      <c r="E21" s="314">
        <f t="shared" ref="E21:G21" si="22">E4+E8</f>
        <v>22692210.799999997</v>
      </c>
      <c r="F21" s="314">
        <f t="shared" si="22"/>
        <v>31595165</v>
      </c>
      <c r="G21" s="314">
        <f t="shared" si="22"/>
        <v>31595165</v>
      </c>
      <c r="H21" s="314">
        <f t="shared" ref="H21" si="23">H4+H8</f>
        <v>1623210</v>
      </c>
      <c r="I21" s="314">
        <f t="shared" ref="I21" si="24">I4+I8</f>
        <v>33218375</v>
      </c>
    </row>
    <row r="22" spans="1:9" ht="21" thickBot="1" x14ac:dyDescent="0.35">
      <c r="A22" s="711" t="s">
        <v>432</v>
      </c>
      <c r="B22" s="712"/>
      <c r="C22" s="713"/>
      <c r="D22" s="403">
        <f t="shared" si="21"/>
        <v>21542202.580000002</v>
      </c>
      <c r="E22" s="257">
        <f t="shared" ref="E22:G22" si="25">E5+E9</f>
        <v>25225092.410000004</v>
      </c>
      <c r="F22" s="257">
        <f t="shared" si="25"/>
        <v>32782045</v>
      </c>
      <c r="G22" s="257">
        <f t="shared" si="25"/>
        <v>32782045</v>
      </c>
      <c r="H22" s="257">
        <f t="shared" ref="H22" si="26">H5+H9</f>
        <v>1749662</v>
      </c>
      <c r="I22" s="257">
        <f t="shared" ref="I22" si="27">I5+I9</f>
        <v>34531707</v>
      </c>
    </row>
    <row r="23" spans="1:9" ht="21" thickBot="1" x14ac:dyDescent="0.35">
      <c r="A23" s="714" t="s">
        <v>411</v>
      </c>
      <c r="B23" s="715"/>
      <c r="C23" s="716"/>
      <c r="D23" s="404">
        <f t="shared" ref="D23" si="28">D21-D22</f>
        <v>-307882.61000000313</v>
      </c>
      <c r="E23" s="315">
        <f t="shared" ref="E23:G23" si="29">E21-E22</f>
        <v>-2532881.6100000069</v>
      </c>
      <c r="F23" s="315">
        <f t="shared" si="29"/>
        <v>-1186880</v>
      </c>
      <c r="G23" s="315">
        <f t="shared" si="29"/>
        <v>-1186880</v>
      </c>
      <c r="H23" s="315">
        <f t="shared" ref="H23" si="30">H21-H22</f>
        <v>-126452</v>
      </c>
      <c r="I23" s="315">
        <f t="shared" ref="I23" si="31">I21-I22</f>
        <v>-1313332</v>
      </c>
    </row>
    <row r="24" spans="1:9" ht="18.75" thickBot="1" x14ac:dyDescent="0.3">
      <c r="A24" s="255"/>
      <c r="B24" s="255"/>
      <c r="C24" s="255"/>
      <c r="I24" s="102"/>
    </row>
    <row r="25" spans="1:9" ht="54.75" thickBot="1" x14ac:dyDescent="0.3">
      <c r="A25" s="261" t="s">
        <v>421</v>
      </c>
      <c r="B25" s="706" t="s">
        <v>422</v>
      </c>
      <c r="C25" s="707"/>
      <c r="D25" s="323" t="s">
        <v>600</v>
      </c>
      <c r="E25" s="617" t="s">
        <v>649</v>
      </c>
      <c r="F25" s="319" t="s">
        <v>681</v>
      </c>
      <c r="G25" s="251" t="s">
        <v>678</v>
      </c>
      <c r="H25" s="251" t="s">
        <v>679</v>
      </c>
      <c r="I25" s="251" t="s">
        <v>680</v>
      </c>
    </row>
    <row r="26" spans="1:9" ht="18" x14ac:dyDescent="0.25">
      <c r="A26" s="262">
        <v>100</v>
      </c>
      <c r="B26" s="719" t="s">
        <v>423</v>
      </c>
      <c r="C26" s="720"/>
      <c r="D26" s="324">
        <f>'príjmy '!B4</f>
        <v>11109713.800000001</v>
      </c>
      <c r="E26" s="324">
        <f>'príjmy '!C4</f>
        <v>11921381.27</v>
      </c>
      <c r="F26" s="324">
        <f>'príjmy '!D4</f>
        <v>13263000</v>
      </c>
      <c r="G26" s="324">
        <f>'príjmy '!E4</f>
        <v>13263000</v>
      </c>
      <c r="H26" s="324">
        <f>'príjmy '!F4</f>
        <v>0</v>
      </c>
      <c r="I26" s="324">
        <f>'príjmy '!G4</f>
        <v>13263000</v>
      </c>
    </row>
    <row r="27" spans="1:9" ht="18" x14ac:dyDescent="0.25">
      <c r="A27" s="263">
        <v>200</v>
      </c>
      <c r="B27" s="717" t="s">
        <v>424</v>
      </c>
      <c r="C27" s="718"/>
      <c r="D27" s="325">
        <f>'príjmy '!B18+'príjmy '!B31+'príjmy '!B54+'príjmy '!B106</f>
        <v>2507996.79</v>
      </c>
      <c r="E27" s="325">
        <f>'príjmy '!C18+'príjmy '!C31+'príjmy '!C54+'príjmy '!C106</f>
        <v>3047561.41</v>
      </c>
      <c r="F27" s="325">
        <f>'príjmy '!D18+'príjmy '!D31+'príjmy '!D54+'príjmy '!D106</f>
        <v>3442600</v>
      </c>
      <c r="G27" s="325">
        <f>'príjmy '!E18+'príjmy '!E31+'príjmy '!E54+'príjmy '!E106</f>
        <v>3442600</v>
      </c>
      <c r="H27" s="325">
        <f>'príjmy '!F18+'príjmy '!F31+'príjmy '!F54+'príjmy '!F106</f>
        <v>-101400</v>
      </c>
      <c r="I27" s="325">
        <f>'príjmy '!G18+'príjmy '!G31+'príjmy '!G54+'príjmy '!G106</f>
        <v>3341200</v>
      </c>
    </row>
    <row r="28" spans="1:9" ht="18" x14ac:dyDescent="0.25">
      <c r="A28" s="263">
        <v>300</v>
      </c>
      <c r="B28" s="717" t="s">
        <v>425</v>
      </c>
      <c r="C28" s="718"/>
      <c r="D28" s="325">
        <f>'príjmy '!B63+'príjmy '!B110</f>
        <v>7616609.3799999999</v>
      </c>
      <c r="E28" s="325">
        <f>'príjmy '!C63+'príjmy '!C110</f>
        <v>7723268.1199999992</v>
      </c>
      <c r="F28" s="325">
        <f>'príjmy '!D63+'príjmy '!D110</f>
        <v>14889565</v>
      </c>
      <c r="G28" s="325">
        <f>'príjmy '!E63+'príjmy '!E110</f>
        <v>14889565</v>
      </c>
      <c r="H28" s="325">
        <f>'príjmy '!F63+'príjmy '!F110</f>
        <v>1724610</v>
      </c>
      <c r="I28" s="325">
        <f>'príjmy '!G63+'príjmy '!G110</f>
        <v>16614175</v>
      </c>
    </row>
    <row r="29" spans="1:9" ht="18" x14ac:dyDescent="0.25">
      <c r="A29" s="263">
        <v>400</v>
      </c>
      <c r="B29" s="717" t="s">
        <v>426</v>
      </c>
      <c r="C29" s="718"/>
      <c r="D29" s="325">
        <f>'príjmy '!B124+'príjmy '!B125+'príjmy '!B126+'príjmy '!B127+'príjmy '!B128+'príjmy '!B129</f>
        <v>1066594.69</v>
      </c>
      <c r="E29" s="325">
        <f>'príjmy '!C124+'príjmy '!C125+'príjmy '!C126+'príjmy '!C127+'príjmy '!C128+'príjmy '!C129</f>
        <v>3617288.68</v>
      </c>
      <c r="F29" s="325">
        <f>'príjmy '!D124+'príjmy '!D125+'príjmy '!D126+'príjmy '!D127+'príjmy '!D128+'príjmy '!D129</f>
        <v>439130</v>
      </c>
      <c r="G29" s="325">
        <f>'príjmy '!E124+'príjmy '!E125+'príjmy '!E126+'príjmy '!E127+'príjmy '!E128+'príjmy '!E129</f>
        <v>439130</v>
      </c>
      <c r="H29" s="325">
        <f>'príjmy '!F124+'príjmy '!F125+'príjmy '!F126+'príjmy '!F127+'príjmy '!F128+'príjmy '!F129</f>
        <v>358602</v>
      </c>
      <c r="I29" s="325">
        <f>'príjmy '!G124+'príjmy '!G125+'príjmy '!G126+'príjmy '!G127+'príjmy '!G128+'príjmy '!G129</f>
        <v>797732</v>
      </c>
    </row>
    <row r="30" spans="1:9" ht="18" x14ac:dyDescent="0.25">
      <c r="A30" s="263">
        <v>500</v>
      </c>
      <c r="B30" s="717" t="s">
        <v>427</v>
      </c>
      <c r="C30" s="718"/>
      <c r="D30" s="325">
        <f>'príjmy '!B130+'príjmy '!B131</f>
        <v>1143986.48</v>
      </c>
      <c r="E30" s="325">
        <f>'príjmy '!C130+'príjmy '!C131</f>
        <v>664404.09</v>
      </c>
      <c r="F30" s="325">
        <f>'príjmy '!D130+'príjmy '!D131</f>
        <v>1904500</v>
      </c>
      <c r="G30" s="325">
        <f>'príjmy '!E130+'príjmy '!E131</f>
        <v>1904500</v>
      </c>
      <c r="H30" s="325">
        <f>'príjmy '!F130+'príjmy '!F131</f>
        <v>-225000</v>
      </c>
      <c r="I30" s="325">
        <f>'príjmy '!G130+'príjmy '!G131</f>
        <v>1679500</v>
      </c>
    </row>
    <row r="31" spans="1:9" ht="18" x14ac:dyDescent="0.25">
      <c r="A31" s="263">
        <v>600</v>
      </c>
      <c r="B31" s="717" t="s">
        <v>378</v>
      </c>
      <c r="C31" s="718"/>
      <c r="D31" s="325">
        <f t="shared" ref="D31:G31" si="32">D5</f>
        <v>19076711.210000001</v>
      </c>
      <c r="E31" s="325">
        <f t="shared" si="32"/>
        <v>21624169.140000004</v>
      </c>
      <c r="F31" s="325">
        <f t="shared" si="32"/>
        <v>24080845</v>
      </c>
      <c r="G31" s="325">
        <f t="shared" si="32"/>
        <v>24064292</v>
      </c>
      <c r="H31" s="325">
        <f t="shared" ref="H31" si="33">H5</f>
        <v>1608757</v>
      </c>
      <c r="I31" s="325">
        <f t="shared" ref="I31" si="34">I5</f>
        <v>25673049</v>
      </c>
    </row>
    <row r="32" spans="1:9" ht="18" x14ac:dyDescent="0.25">
      <c r="A32" s="263">
        <v>700</v>
      </c>
      <c r="B32" s="717" t="s">
        <v>381</v>
      </c>
      <c r="C32" s="718"/>
      <c r="D32" s="325">
        <f t="shared" ref="D32:G32" si="35">D9</f>
        <v>2465491.37</v>
      </c>
      <c r="E32" s="325">
        <f t="shared" si="35"/>
        <v>3600923.2700000005</v>
      </c>
      <c r="F32" s="325">
        <f t="shared" si="35"/>
        <v>8701200</v>
      </c>
      <c r="G32" s="325">
        <f t="shared" si="35"/>
        <v>8717753</v>
      </c>
      <c r="H32" s="325">
        <f t="shared" ref="H32" si="36">H9</f>
        <v>140905</v>
      </c>
      <c r="I32" s="325">
        <f t="shared" ref="I32" si="37">I9</f>
        <v>8858658</v>
      </c>
    </row>
    <row r="33" spans="1:21" ht="18.75" thickBot="1" x14ac:dyDescent="0.3">
      <c r="A33" s="264">
        <v>800</v>
      </c>
      <c r="B33" s="730" t="s">
        <v>428</v>
      </c>
      <c r="C33" s="731"/>
      <c r="D33" s="326">
        <f t="shared" ref="D33:G33" si="38">D13</f>
        <v>212559.69</v>
      </c>
      <c r="E33" s="326">
        <f t="shared" si="38"/>
        <v>993541.5</v>
      </c>
      <c r="F33" s="326">
        <f t="shared" si="38"/>
        <v>1156750</v>
      </c>
      <c r="G33" s="326">
        <f t="shared" si="38"/>
        <v>1156750</v>
      </c>
      <c r="H33" s="326">
        <f t="shared" ref="H33" si="39">H13</f>
        <v>7150</v>
      </c>
      <c r="I33" s="326">
        <f t="shared" ref="I33" si="40">I13</f>
        <v>1163900</v>
      </c>
    </row>
    <row r="34" spans="1:21" ht="13.5" thickBot="1" x14ac:dyDescent="0.25">
      <c r="A34" s="732"/>
      <c r="B34" s="732"/>
      <c r="C34" s="732"/>
      <c r="D34" s="101"/>
      <c r="E34" s="101"/>
      <c r="F34" s="101"/>
      <c r="G34" s="101"/>
      <c r="H34" s="101"/>
    </row>
    <row r="35" spans="1:21" ht="32.25" thickBot="1" x14ac:dyDescent="0.3">
      <c r="A35" s="733"/>
      <c r="B35" s="733"/>
      <c r="C35" s="733"/>
      <c r="D35" s="323" t="s">
        <v>600</v>
      </c>
      <c r="E35" s="617" t="s">
        <v>649</v>
      </c>
      <c r="F35" s="323" t="s">
        <v>620</v>
      </c>
      <c r="G35" s="323" t="s">
        <v>621</v>
      </c>
      <c r="H35" s="323" t="s">
        <v>621</v>
      </c>
      <c r="I35" s="323" t="s">
        <v>621</v>
      </c>
    </row>
    <row r="36" spans="1:21" ht="18" x14ac:dyDescent="0.25">
      <c r="A36" s="727" t="s">
        <v>444</v>
      </c>
      <c r="B36" s="728"/>
      <c r="C36" s="729"/>
      <c r="D36" s="328">
        <f t="shared" ref="D36" si="41">D26+D27+D28+D29+D30</f>
        <v>23444901.140000001</v>
      </c>
      <c r="E36" s="328">
        <f t="shared" ref="E36:G36" si="42">E26+E27+E28+E29+E30</f>
        <v>26973903.569999997</v>
      </c>
      <c r="F36" s="328">
        <f t="shared" si="42"/>
        <v>33938795</v>
      </c>
      <c r="G36" s="328">
        <f t="shared" si="42"/>
        <v>33938795</v>
      </c>
      <c r="H36" s="328">
        <f t="shared" ref="H36" si="43">H26+H27+H28+H29+H30</f>
        <v>1756812</v>
      </c>
      <c r="I36" s="328">
        <f t="shared" ref="I36" si="44">I26+I27+I28+I29+I30</f>
        <v>35695607</v>
      </c>
    </row>
    <row r="37" spans="1:21" ht="18" x14ac:dyDescent="0.25">
      <c r="A37" s="724" t="s">
        <v>445</v>
      </c>
      <c r="B37" s="725"/>
      <c r="C37" s="726"/>
      <c r="D37" s="325">
        <f t="shared" ref="D37" si="45">D31+D32+D33</f>
        <v>21754762.270000003</v>
      </c>
      <c r="E37" s="325">
        <f t="shared" ref="E37:G37" si="46">E31+E32+E33</f>
        <v>26218633.910000004</v>
      </c>
      <c r="F37" s="325">
        <f t="shared" si="46"/>
        <v>33938795</v>
      </c>
      <c r="G37" s="325">
        <f t="shared" si="46"/>
        <v>33938795</v>
      </c>
      <c r="H37" s="325">
        <f t="shared" ref="H37" si="47">H31+H32+H33</f>
        <v>1756812</v>
      </c>
      <c r="I37" s="325">
        <f t="shared" ref="I37" si="48">I31+I32+I33</f>
        <v>35695607</v>
      </c>
    </row>
    <row r="38" spans="1:21" ht="18.75" thickBot="1" x14ac:dyDescent="0.3">
      <c r="A38" s="721" t="s">
        <v>379</v>
      </c>
      <c r="B38" s="722"/>
      <c r="C38" s="723"/>
      <c r="D38" s="326">
        <f t="shared" ref="D38" si="49">D36-D37</f>
        <v>1690138.8699999973</v>
      </c>
      <c r="E38" s="326">
        <f t="shared" ref="E38:G38" si="50">E36-E37</f>
        <v>755269.6599999927</v>
      </c>
      <c r="F38" s="326">
        <f t="shared" si="50"/>
        <v>0</v>
      </c>
      <c r="G38" s="326">
        <f t="shared" si="50"/>
        <v>0</v>
      </c>
      <c r="H38" s="326">
        <f t="shared" ref="H38" si="51">H36-H37</f>
        <v>0</v>
      </c>
      <c r="I38" s="326">
        <f t="shared" ref="I38" si="52">I36-I37</f>
        <v>0</v>
      </c>
      <c r="J38" s="327"/>
      <c r="K38" s="327"/>
      <c r="L38" s="327"/>
      <c r="M38" s="327"/>
      <c r="N38" s="327"/>
      <c r="O38" s="327"/>
      <c r="P38" s="327"/>
      <c r="Q38" s="327"/>
      <c r="R38" s="327"/>
      <c r="S38" s="327"/>
      <c r="T38" s="327"/>
      <c r="U38" s="327"/>
    </row>
    <row r="49" ht="58.5" customHeight="1" x14ac:dyDescent="0.2"/>
  </sheetData>
  <sheetProtection selectLockedCells="1" selectUnlockedCells="1"/>
  <mergeCells count="32">
    <mergeCell ref="A3:C3"/>
    <mergeCell ref="A4:C4"/>
    <mergeCell ref="A5:C5"/>
    <mergeCell ref="A6:C6"/>
    <mergeCell ref="A1:I1"/>
    <mergeCell ref="A7:C7"/>
    <mergeCell ref="A17:C17"/>
    <mergeCell ref="A18:C18"/>
    <mergeCell ref="A8:C8"/>
    <mergeCell ref="A9:C9"/>
    <mergeCell ref="A10:C10"/>
    <mergeCell ref="A11:C11"/>
    <mergeCell ref="A12:C12"/>
    <mergeCell ref="A13:C13"/>
    <mergeCell ref="A14:C14"/>
    <mergeCell ref="A16:C16"/>
    <mergeCell ref="A38:C38"/>
    <mergeCell ref="A37:C37"/>
    <mergeCell ref="A36:C36"/>
    <mergeCell ref="B28:C28"/>
    <mergeCell ref="B29:C29"/>
    <mergeCell ref="B30:C30"/>
    <mergeCell ref="B31:C31"/>
    <mergeCell ref="B32:C32"/>
    <mergeCell ref="B33:C33"/>
    <mergeCell ref="A34:C35"/>
    <mergeCell ref="B25:C25"/>
    <mergeCell ref="A21:C21"/>
    <mergeCell ref="A22:C22"/>
    <mergeCell ref="A23:C23"/>
    <mergeCell ref="B27:C27"/>
    <mergeCell ref="B26:C26"/>
  </mergeCells>
  <phoneticPr fontId="0" type="noConversion"/>
  <pageMargins left="0" right="0" top="0" bottom="0" header="0.51181102362204722" footer="0.51181102362204722"/>
  <pageSetup paperSize="9" scale="72" firstPageNumber="0" orientation="landscape"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33"/>
  <sheetViews>
    <sheetView workbookViewId="0">
      <pane ySplit="2" topLeftCell="A117" activePane="bottomLeft" state="frozen"/>
      <selection pane="bottomLeft" sqref="A1:F1"/>
    </sheetView>
  </sheetViews>
  <sheetFormatPr defaultRowHeight="15" x14ac:dyDescent="0.25"/>
  <cols>
    <col min="1" max="1" width="49.7109375" customWidth="1"/>
    <col min="2" max="3" width="12.85546875" customWidth="1"/>
    <col min="4" max="4" width="12.85546875" style="1" customWidth="1"/>
    <col min="5" max="5" width="18.140625" style="1" bestFit="1" customWidth="1"/>
    <col min="6" max="6" width="16" style="1" customWidth="1"/>
  </cols>
  <sheetData>
    <row r="1" spans="1:7" ht="16.5" customHeight="1" thickBot="1" x14ac:dyDescent="0.3">
      <c r="A1" s="756" t="s">
        <v>393</v>
      </c>
      <c r="B1" s="756"/>
      <c r="C1" s="756"/>
      <c r="D1" s="756"/>
      <c r="E1" s="756"/>
      <c r="F1" s="756"/>
    </row>
    <row r="2" spans="1:7" ht="15.75" thickBot="1" x14ac:dyDescent="0.3">
      <c r="A2" s="2"/>
      <c r="B2" s="3" t="s">
        <v>0</v>
      </c>
      <c r="C2" s="3" t="s">
        <v>1</v>
      </c>
      <c r="D2" s="3" t="s">
        <v>2</v>
      </c>
      <c r="E2" s="3" t="s">
        <v>390</v>
      </c>
      <c r="F2" s="4" t="s">
        <v>3</v>
      </c>
    </row>
    <row r="3" spans="1:7" ht="16.5" thickBot="1" x14ac:dyDescent="0.3">
      <c r="A3" s="5" t="s">
        <v>4</v>
      </c>
      <c r="B3" s="6">
        <f>B4+B15</f>
        <v>10611235.030000001</v>
      </c>
      <c r="C3" s="7">
        <f>C4+C15</f>
        <v>10916798.300000001</v>
      </c>
      <c r="D3" s="7">
        <f>D4+D15</f>
        <v>11688460</v>
      </c>
      <c r="E3" s="7">
        <v>11192555</v>
      </c>
      <c r="F3" s="7">
        <f>F4+F15</f>
        <v>11690737</v>
      </c>
    </row>
    <row r="4" spans="1:7" x14ac:dyDescent="0.25">
      <c r="A4" s="8" t="s">
        <v>5</v>
      </c>
      <c r="B4" s="9">
        <f>B5+B7+B9</f>
        <v>5754962.3000000007</v>
      </c>
      <c r="C4" s="10">
        <f>C5+C7+C9</f>
        <v>6416067.8399999999</v>
      </c>
      <c r="D4" s="10">
        <f>D5+D7+D9</f>
        <v>6967545</v>
      </c>
      <c r="E4" s="10">
        <v>6770079</v>
      </c>
      <c r="F4" s="10">
        <f>F5+F7+F9</f>
        <v>6809308</v>
      </c>
    </row>
    <row r="5" spans="1:7" x14ac:dyDescent="0.25">
      <c r="A5" s="11" t="s">
        <v>6</v>
      </c>
      <c r="B5" s="12">
        <f>SUM(B6)</f>
        <v>4489948.6500000004</v>
      </c>
      <c r="C5" s="13">
        <f>SUM(C6)</f>
        <v>5134478.62</v>
      </c>
      <c r="D5" s="13">
        <f>SUM(D6)</f>
        <v>5356545</v>
      </c>
      <c r="E5" s="13">
        <v>5198054</v>
      </c>
      <c r="F5" s="12">
        <f>SUM(F6)</f>
        <v>5177308</v>
      </c>
    </row>
    <row r="6" spans="1:7" x14ac:dyDescent="0.25">
      <c r="A6" s="14" t="s">
        <v>7</v>
      </c>
      <c r="B6" s="15">
        <v>4489948.6500000004</v>
      </c>
      <c r="C6" s="15">
        <v>5134478.62</v>
      </c>
      <c r="D6" s="15">
        <v>5356545</v>
      </c>
      <c r="E6" s="15">
        <v>5198054</v>
      </c>
      <c r="F6" s="15">
        <v>5177308</v>
      </c>
      <c r="G6" s="1"/>
    </row>
    <row r="7" spans="1:7" x14ac:dyDescent="0.25">
      <c r="A7" s="16" t="s">
        <v>8</v>
      </c>
      <c r="B7" s="17">
        <f>SUM(B8)</f>
        <v>730988.65</v>
      </c>
      <c r="C7" s="13">
        <f>SUM(C8)</f>
        <v>728087.41</v>
      </c>
      <c r="D7" s="13">
        <f>SUM(D8)</f>
        <v>810000</v>
      </c>
      <c r="E7" s="13">
        <v>801388</v>
      </c>
      <c r="F7" s="12">
        <f>SUM(F8)</f>
        <v>815000</v>
      </c>
    </row>
    <row r="8" spans="1:7" x14ac:dyDescent="0.25">
      <c r="A8" s="18" t="s">
        <v>9</v>
      </c>
      <c r="B8" s="15">
        <v>730988.65</v>
      </c>
      <c r="C8" s="15">
        <v>728087.41</v>
      </c>
      <c r="D8" s="15">
        <v>810000</v>
      </c>
      <c r="E8" s="15">
        <v>801388</v>
      </c>
      <c r="F8" s="15">
        <v>815000</v>
      </c>
      <c r="G8" s="126"/>
    </row>
    <row r="9" spans="1:7" x14ac:dyDescent="0.25">
      <c r="A9" s="16" t="s">
        <v>10</v>
      </c>
      <c r="B9" s="17">
        <f>SUM(B10:B14)</f>
        <v>534025</v>
      </c>
      <c r="C9" s="13">
        <f>SUM(C10:C14)</f>
        <v>553501.80999999994</v>
      </c>
      <c r="D9" s="13">
        <f>SUM(D10:D14)</f>
        <v>801000</v>
      </c>
      <c r="E9" s="13">
        <v>770637</v>
      </c>
      <c r="F9" s="12">
        <f>SUM(F10:F14)</f>
        <v>817000</v>
      </c>
    </row>
    <row r="10" spans="1:7" x14ac:dyDescent="0.25">
      <c r="A10" s="20" t="s">
        <v>11</v>
      </c>
      <c r="B10" s="21">
        <v>12240</v>
      </c>
      <c r="C10" s="19">
        <v>11638.67</v>
      </c>
      <c r="D10" s="19">
        <v>19000</v>
      </c>
      <c r="E10" s="19">
        <v>19482</v>
      </c>
      <c r="F10" s="19">
        <v>19000</v>
      </c>
    </row>
    <row r="11" spans="1:7" x14ac:dyDescent="0.25">
      <c r="A11" s="20" t="s">
        <v>12</v>
      </c>
      <c r="B11" s="21">
        <v>21788</v>
      </c>
      <c r="C11" s="19">
        <v>21117.64</v>
      </c>
      <c r="D11" s="19">
        <v>22000</v>
      </c>
      <c r="E11" s="19">
        <v>22332</v>
      </c>
      <c r="F11" s="19">
        <v>27000</v>
      </c>
    </row>
    <row r="12" spans="1:7" x14ac:dyDescent="0.25">
      <c r="A12" s="20" t="s">
        <v>13</v>
      </c>
      <c r="B12" s="21">
        <v>30230</v>
      </c>
      <c r="C12" s="19">
        <v>32337.03</v>
      </c>
      <c r="D12" s="19">
        <v>40000</v>
      </c>
      <c r="E12" s="19">
        <v>48023</v>
      </c>
      <c r="F12" s="19">
        <v>46000</v>
      </c>
    </row>
    <row r="13" spans="1:7" x14ac:dyDescent="0.25">
      <c r="A13" s="20" t="s">
        <v>14</v>
      </c>
      <c r="B13" s="21">
        <v>353791</v>
      </c>
      <c r="C13" s="19">
        <v>382370.97</v>
      </c>
      <c r="D13" s="19">
        <v>580000</v>
      </c>
      <c r="E13" s="19">
        <v>567850</v>
      </c>
      <c r="F13" s="19">
        <v>580000</v>
      </c>
      <c r="G13" s="126"/>
    </row>
    <row r="14" spans="1:7" x14ac:dyDescent="0.25">
      <c r="A14" s="20" t="s">
        <v>15</v>
      </c>
      <c r="B14" s="22">
        <v>115976</v>
      </c>
      <c r="C14" s="19">
        <v>106037.5</v>
      </c>
      <c r="D14" s="19">
        <v>140000</v>
      </c>
      <c r="E14" s="19">
        <v>112950</v>
      </c>
      <c r="F14" s="23">
        <v>145000</v>
      </c>
    </row>
    <row r="15" spans="1:7" x14ac:dyDescent="0.25">
      <c r="A15" s="24" t="s">
        <v>16</v>
      </c>
      <c r="B15" s="25">
        <f>B16+B28+B55+B65</f>
        <v>4856272.7300000004</v>
      </c>
      <c r="C15" s="25">
        <f>C16+C28+C55+C65</f>
        <v>4500730.46</v>
      </c>
      <c r="D15" s="26">
        <f>D16+D28+D55+D65</f>
        <v>4720915</v>
      </c>
      <c r="E15" s="26">
        <v>4422476</v>
      </c>
      <c r="F15" s="26">
        <f>F16+F28+F55+F65</f>
        <v>4881429</v>
      </c>
    </row>
    <row r="16" spans="1:7" x14ac:dyDescent="0.25">
      <c r="A16" s="11" t="s">
        <v>17</v>
      </c>
      <c r="B16" s="12">
        <f>SUM(B17:B27)</f>
        <v>913359</v>
      </c>
      <c r="C16" s="13">
        <f>SUM(C17:C27)</f>
        <v>741384.84999999986</v>
      </c>
      <c r="D16" s="13">
        <f>SUM(D17:D27)</f>
        <v>709500</v>
      </c>
      <c r="E16" s="13">
        <v>666551</v>
      </c>
      <c r="F16" s="12">
        <f>SUM(F17:F27)</f>
        <v>741354</v>
      </c>
    </row>
    <row r="17" spans="1:7" x14ac:dyDescent="0.25">
      <c r="A17" s="14" t="s">
        <v>18</v>
      </c>
      <c r="B17" s="21">
        <v>58794</v>
      </c>
      <c r="C17" s="19">
        <v>61567.88</v>
      </c>
      <c r="D17" s="19">
        <v>70000</v>
      </c>
      <c r="E17" s="19">
        <v>59299</v>
      </c>
      <c r="F17" s="27">
        <v>69000</v>
      </c>
    </row>
    <row r="18" spans="1:7" x14ac:dyDescent="0.25">
      <c r="A18" s="14" t="s">
        <v>19</v>
      </c>
      <c r="B18" s="21">
        <v>232206</v>
      </c>
      <c r="C18" s="19">
        <v>60374.58</v>
      </c>
      <c r="D18" s="19">
        <v>21500</v>
      </c>
      <c r="E18" s="19">
        <v>24760</v>
      </c>
      <c r="F18" s="27">
        <v>7640</v>
      </c>
    </row>
    <row r="19" spans="1:7" x14ac:dyDescent="0.25">
      <c r="A19" s="14" t="s">
        <v>20</v>
      </c>
      <c r="B19" s="21">
        <v>1481</v>
      </c>
      <c r="C19" s="19">
        <v>1539.87</v>
      </c>
      <c r="D19" s="19">
        <v>1500</v>
      </c>
      <c r="E19" s="19">
        <v>1407</v>
      </c>
      <c r="F19" s="27">
        <v>1400</v>
      </c>
    </row>
    <row r="20" spans="1:7" x14ac:dyDescent="0.25">
      <c r="A20" s="14" t="s">
        <v>21</v>
      </c>
      <c r="B20" s="21">
        <v>441537</v>
      </c>
      <c r="C20" s="19">
        <v>438184.47</v>
      </c>
      <c r="D20" s="19">
        <v>440000</v>
      </c>
      <c r="E20" s="19">
        <v>398986</v>
      </c>
      <c r="F20" s="27">
        <v>450100</v>
      </c>
    </row>
    <row r="21" spans="1:7" x14ac:dyDescent="0.25">
      <c r="A21" s="14" t="s">
        <v>22</v>
      </c>
      <c r="B21" s="21">
        <v>58904</v>
      </c>
      <c r="C21" s="19">
        <v>66439.460000000006</v>
      </c>
      <c r="D21" s="19">
        <v>60000</v>
      </c>
      <c r="E21" s="19">
        <v>44754</v>
      </c>
      <c r="F21" s="27">
        <v>44500</v>
      </c>
    </row>
    <row r="22" spans="1:7" x14ac:dyDescent="0.25">
      <c r="A22" s="14" t="s">
        <v>23</v>
      </c>
      <c r="B22" s="21">
        <v>68994</v>
      </c>
      <c r="C22" s="19">
        <v>56914.62</v>
      </c>
      <c r="D22" s="19">
        <v>60000</v>
      </c>
      <c r="E22" s="19">
        <v>73634</v>
      </c>
      <c r="F22" s="27">
        <v>65300</v>
      </c>
    </row>
    <row r="23" spans="1:7" x14ac:dyDescent="0.25">
      <c r="A23" s="14" t="s">
        <v>24</v>
      </c>
      <c r="B23" s="21">
        <v>5332</v>
      </c>
      <c r="C23" s="19">
        <v>5331.96</v>
      </c>
      <c r="D23" s="19">
        <v>5500</v>
      </c>
      <c r="E23" s="19">
        <v>5332</v>
      </c>
      <c r="F23" s="27">
        <v>5982</v>
      </c>
    </row>
    <row r="24" spans="1:7" x14ac:dyDescent="0.25">
      <c r="A24" s="14" t="s">
        <v>25</v>
      </c>
      <c r="B24" s="21">
        <v>16480</v>
      </c>
      <c r="C24" s="19">
        <v>20030.12</v>
      </c>
      <c r="D24" s="19">
        <v>21000</v>
      </c>
      <c r="E24" s="19">
        <v>16675</v>
      </c>
      <c r="F24" s="27">
        <v>21000</v>
      </c>
    </row>
    <row r="25" spans="1:7" x14ac:dyDescent="0.25">
      <c r="A25" s="14" t="s">
        <v>26</v>
      </c>
      <c r="B25" s="21">
        <v>19605</v>
      </c>
      <c r="C25" s="19">
        <v>22524.68</v>
      </c>
      <c r="D25" s="19">
        <v>20000</v>
      </c>
      <c r="E25" s="19">
        <v>31206</v>
      </c>
      <c r="F25" s="27">
        <v>23432</v>
      </c>
    </row>
    <row r="26" spans="1:7" x14ac:dyDescent="0.25">
      <c r="A26" s="14" t="s">
        <v>27</v>
      </c>
      <c r="B26" s="21"/>
      <c r="C26" s="19"/>
      <c r="D26" s="19"/>
      <c r="E26" s="19"/>
      <c r="F26" s="27">
        <v>45000</v>
      </c>
    </row>
    <row r="27" spans="1:7" x14ac:dyDescent="0.25">
      <c r="A27" s="18" t="s">
        <v>28</v>
      </c>
      <c r="B27" s="22">
        <v>10026</v>
      </c>
      <c r="C27" s="15">
        <v>8477.2099999999991</v>
      </c>
      <c r="D27" s="15">
        <v>10000</v>
      </c>
      <c r="E27" s="15">
        <v>11498</v>
      </c>
      <c r="F27" s="28">
        <v>8000</v>
      </c>
    </row>
    <row r="28" spans="1:7" x14ac:dyDescent="0.25">
      <c r="A28" s="11" t="s">
        <v>29</v>
      </c>
      <c r="B28" s="17">
        <f>SUM(B29:B54)</f>
        <v>423158.39</v>
      </c>
      <c r="C28" s="13">
        <f>SUM(C29:C54)</f>
        <v>422010.56999999989</v>
      </c>
      <c r="D28" s="13">
        <f>SUM(D29:D54)</f>
        <v>421220</v>
      </c>
      <c r="E28" s="13">
        <v>328110</v>
      </c>
      <c r="F28" s="12">
        <f>SUM(F29:F54)</f>
        <v>466220</v>
      </c>
    </row>
    <row r="29" spans="1:7" x14ac:dyDescent="0.25">
      <c r="A29" s="14" t="s">
        <v>30</v>
      </c>
      <c r="B29" s="21">
        <v>213570.5</v>
      </c>
      <c r="C29" s="19">
        <v>201861.5</v>
      </c>
      <c r="D29" s="19">
        <v>210000</v>
      </c>
      <c r="E29" s="19">
        <v>136694</v>
      </c>
      <c r="F29" s="29">
        <v>160000</v>
      </c>
      <c r="G29" s="126"/>
    </row>
    <row r="30" spans="1:7" x14ac:dyDescent="0.25">
      <c r="A30" s="14" t="s">
        <v>31</v>
      </c>
      <c r="B30" s="21">
        <v>15550</v>
      </c>
      <c r="C30" s="19">
        <v>20652.810000000001</v>
      </c>
      <c r="D30" s="19">
        <v>20000</v>
      </c>
      <c r="E30" s="19">
        <v>16818</v>
      </c>
      <c r="F30" s="23">
        <v>35000</v>
      </c>
    </row>
    <row r="31" spans="1:7" x14ac:dyDescent="0.25">
      <c r="A31" s="14" t="s">
        <v>32</v>
      </c>
      <c r="B31" s="21">
        <v>2749.5</v>
      </c>
      <c r="C31" s="19">
        <v>2974.5</v>
      </c>
      <c r="D31" s="19">
        <v>3300</v>
      </c>
      <c r="E31" s="19">
        <v>3136</v>
      </c>
      <c r="F31" s="19">
        <v>5000</v>
      </c>
    </row>
    <row r="32" spans="1:7" x14ac:dyDescent="0.25">
      <c r="A32" s="14" t="s">
        <v>33</v>
      </c>
      <c r="B32" s="21">
        <v>1233</v>
      </c>
      <c r="C32" s="19">
        <v>1359</v>
      </c>
      <c r="D32" s="19">
        <v>1300</v>
      </c>
      <c r="E32" s="19">
        <v>1435</v>
      </c>
      <c r="F32" s="19">
        <v>2000</v>
      </c>
    </row>
    <row r="33" spans="1:6" x14ac:dyDescent="0.25">
      <c r="A33" s="14" t="s">
        <v>34</v>
      </c>
      <c r="B33" s="21">
        <v>3500</v>
      </c>
      <c r="C33" s="19">
        <v>1783</v>
      </c>
      <c r="D33" s="19">
        <v>2500</v>
      </c>
      <c r="E33" s="19">
        <v>1048</v>
      </c>
      <c r="F33" s="19">
        <v>2000</v>
      </c>
    </row>
    <row r="34" spans="1:6" x14ac:dyDescent="0.25">
      <c r="A34" s="14" t="s">
        <v>35</v>
      </c>
      <c r="B34" s="21">
        <v>16632</v>
      </c>
      <c r="C34" s="19">
        <v>17708</v>
      </c>
      <c r="D34" s="19">
        <v>18000</v>
      </c>
      <c r="E34" s="19">
        <v>21324</v>
      </c>
      <c r="F34" s="19">
        <v>23000</v>
      </c>
    </row>
    <row r="35" spans="1:6" x14ac:dyDescent="0.25">
      <c r="A35" s="14" t="s">
        <v>36</v>
      </c>
      <c r="B35" s="21">
        <v>42143.99</v>
      </c>
      <c r="C35" s="19">
        <v>26847.57</v>
      </c>
      <c r="D35" s="19">
        <v>20000</v>
      </c>
      <c r="E35" s="19">
        <v>24953</v>
      </c>
      <c r="F35" s="23">
        <v>60000</v>
      </c>
    </row>
    <row r="36" spans="1:6" x14ac:dyDescent="0.25">
      <c r="A36" s="14" t="s">
        <v>37</v>
      </c>
      <c r="B36" s="21"/>
      <c r="C36" s="19">
        <v>4827</v>
      </c>
      <c r="D36" s="19"/>
      <c r="E36" s="19">
        <v>0</v>
      </c>
      <c r="F36" s="19"/>
    </row>
    <row r="37" spans="1:6" x14ac:dyDescent="0.25">
      <c r="A37" s="14" t="s">
        <v>38</v>
      </c>
      <c r="B37" s="21">
        <v>10957.68</v>
      </c>
      <c r="C37" s="19">
        <v>12607.72</v>
      </c>
      <c r="D37" s="19">
        <v>13000</v>
      </c>
      <c r="E37" s="19">
        <v>10746</v>
      </c>
      <c r="F37" s="19">
        <v>14000</v>
      </c>
    </row>
    <row r="38" spans="1:6" x14ac:dyDescent="0.25">
      <c r="A38" s="14" t="s">
        <v>39</v>
      </c>
      <c r="B38" s="21">
        <v>5151.91</v>
      </c>
      <c r="C38" s="19">
        <v>9754.7199999999993</v>
      </c>
      <c r="D38" s="19">
        <v>10000</v>
      </c>
      <c r="E38" s="19">
        <v>3844</v>
      </c>
      <c r="F38" s="23">
        <v>10000</v>
      </c>
    </row>
    <row r="39" spans="1:6" x14ac:dyDescent="0.25">
      <c r="A39" s="14" t="s">
        <v>40</v>
      </c>
      <c r="B39" s="21">
        <v>1128</v>
      </c>
      <c r="C39" s="19">
        <v>92.5</v>
      </c>
      <c r="D39" s="19">
        <v>0</v>
      </c>
      <c r="E39" s="19">
        <v>200</v>
      </c>
      <c r="F39" s="19">
        <v>0</v>
      </c>
    </row>
    <row r="40" spans="1:6" x14ac:dyDescent="0.25">
      <c r="A40" s="30" t="s">
        <v>41</v>
      </c>
      <c r="B40" s="21">
        <v>17579.759999999998</v>
      </c>
      <c r="C40" s="19">
        <v>17662.91</v>
      </c>
      <c r="D40" s="19">
        <v>19920</v>
      </c>
      <c r="E40" s="19">
        <v>17293</v>
      </c>
      <c r="F40" s="19">
        <v>19920</v>
      </c>
    </row>
    <row r="41" spans="1:6" x14ac:dyDescent="0.25">
      <c r="A41" s="30" t="s">
        <v>42</v>
      </c>
      <c r="B41" s="21">
        <v>23676</v>
      </c>
      <c r="C41" s="19">
        <v>39433.56</v>
      </c>
      <c r="D41" s="19">
        <v>40000</v>
      </c>
      <c r="E41" s="19">
        <v>32993</v>
      </c>
      <c r="F41" s="19">
        <v>40000</v>
      </c>
    </row>
    <row r="42" spans="1:6" x14ac:dyDescent="0.25">
      <c r="A42" s="14" t="s">
        <v>43</v>
      </c>
      <c r="B42" s="21">
        <v>0</v>
      </c>
      <c r="C42" s="19"/>
      <c r="D42" s="19"/>
      <c r="E42" s="19">
        <v>10052</v>
      </c>
      <c r="F42" s="19"/>
    </row>
    <row r="43" spans="1:6" x14ac:dyDescent="0.25">
      <c r="A43" s="30" t="s">
        <v>44</v>
      </c>
      <c r="B43" s="21">
        <v>49299.14</v>
      </c>
      <c r="C43" s="19">
        <v>37202</v>
      </c>
      <c r="D43" s="19">
        <v>40000</v>
      </c>
      <c r="E43" s="19">
        <v>26037</v>
      </c>
      <c r="F43" s="19">
        <v>20000</v>
      </c>
    </row>
    <row r="44" spans="1:6" x14ac:dyDescent="0.25">
      <c r="A44" s="30" t="s">
        <v>45</v>
      </c>
      <c r="B44" s="21"/>
      <c r="C44" s="19"/>
      <c r="D44" s="19"/>
      <c r="E44" s="19"/>
      <c r="F44" s="19">
        <v>40000</v>
      </c>
    </row>
    <row r="45" spans="1:6" x14ac:dyDescent="0.25">
      <c r="A45" s="30" t="s">
        <v>46</v>
      </c>
      <c r="B45" s="21"/>
      <c r="C45" s="19"/>
      <c r="D45" s="19"/>
      <c r="E45" s="19"/>
      <c r="F45" s="19">
        <v>14500</v>
      </c>
    </row>
    <row r="46" spans="1:6" x14ac:dyDescent="0.25">
      <c r="A46" s="30" t="s">
        <v>47</v>
      </c>
      <c r="B46" s="21"/>
      <c r="C46" s="19"/>
      <c r="D46" s="19"/>
      <c r="E46" s="19"/>
      <c r="F46" s="19">
        <v>2000</v>
      </c>
    </row>
    <row r="47" spans="1:6" x14ac:dyDescent="0.25">
      <c r="A47" s="30" t="s">
        <v>48</v>
      </c>
      <c r="B47" s="21"/>
      <c r="C47" s="19"/>
      <c r="D47" s="19"/>
      <c r="E47" s="19"/>
      <c r="F47" s="19">
        <v>1000</v>
      </c>
    </row>
    <row r="48" spans="1:6" x14ac:dyDescent="0.25">
      <c r="A48" s="30" t="s">
        <v>49</v>
      </c>
      <c r="B48" s="21"/>
      <c r="C48" s="19"/>
      <c r="D48" s="19"/>
      <c r="E48" s="19"/>
      <c r="F48" s="19">
        <v>500</v>
      </c>
    </row>
    <row r="49" spans="1:6" x14ac:dyDescent="0.25">
      <c r="A49" s="30" t="s">
        <v>50</v>
      </c>
      <c r="B49" s="21">
        <v>2079.3200000000002</v>
      </c>
      <c r="C49" s="19">
        <v>1872.02</v>
      </c>
      <c r="D49" s="19">
        <v>2000</v>
      </c>
      <c r="E49" s="19">
        <v>1569</v>
      </c>
      <c r="F49" s="19">
        <v>1500</v>
      </c>
    </row>
    <row r="50" spans="1:6" x14ac:dyDescent="0.25">
      <c r="A50" s="14" t="s">
        <v>51</v>
      </c>
      <c r="B50" s="21">
        <v>15728.2</v>
      </c>
      <c r="C50" s="19">
        <v>14867.9</v>
      </c>
      <c r="D50" s="19">
        <v>15000</v>
      </c>
      <c r="E50" s="19">
        <v>12779</v>
      </c>
      <c r="F50" s="19">
        <v>15000</v>
      </c>
    </row>
    <row r="51" spans="1:6" x14ac:dyDescent="0.25">
      <c r="A51" s="14" t="s">
        <v>52</v>
      </c>
      <c r="B51" s="21"/>
      <c r="C51" s="19">
        <v>8953.23</v>
      </c>
      <c r="D51" s="19"/>
      <c r="E51" s="19">
        <v>3660</v>
      </c>
      <c r="F51" s="19"/>
    </row>
    <row r="52" spans="1:6" x14ac:dyDescent="0.25">
      <c r="A52" s="14" t="s">
        <v>53</v>
      </c>
      <c r="B52" s="21"/>
      <c r="C52" s="19"/>
      <c r="D52" s="19">
        <v>5400</v>
      </c>
      <c r="E52" s="19">
        <v>2700</v>
      </c>
      <c r="F52" s="19"/>
    </row>
    <row r="53" spans="1:6" x14ac:dyDescent="0.25">
      <c r="A53" s="14" t="s">
        <v>54</v>
      </c>
      <c r="B53" s="21">
        <v>1383</v>
      </c>
      <c r="C53" s="19">
        <v>817.91</v>
      </c>
      <c r="D53" s="19"/>
      <c r="E53" s="19">
        <v>178</v>
      </c>
      <c r="F53" s="19"/>
    </row>
    <row r="54" spans="1:6" x14ac:dyDescent="0.25">
      <c r="A54" s="14" t="s">
        <v>55</v>
      </c>
      <c r="B54" s="15">
        <v>796.39</v>
      </c>
      <c r="C54" s="15">
        <v>732.72</v>
      </c>
      <c r="D54" s="15">
        <v>800</v>
      </c>
      <c r="E54" s="15">
        <v>651</v>
      </c>
      <c r="F54" s="15">
        <v>800</v>
      </c>
    </row>
    <row r="55" spans="1:6" x14ac:dyDescent="0.25">
      <c r="A55" s="16" t="s">
        <v>56</v>
      </c>
      <c r="B55" s="17">
        <f>SUM(B56:B64)</f>
        <v>263358.62</v>
      </c>
      <c r="C55" s="13">
        <f>SUM(C56:C64)</f>
        <v>305447.13</v>
      </c>
      <c r="D55" s="13">
        <f>SUM(D56:D64)</f>
        <v>275688</v>
      </c>
      <c r="E55" s="13">
        <v>303137</v>
      </c>
      <c r="F55" s="12">
        <f>SUM(F56:F64)</f>
        <v>317190</v>
      </c>
    </row>
    <row r="56" spans="1:6" x14ac:dyDescent="0.25">
      <c r="A56" s="14" t="s">
        <v>56</v>
      </c>
      <c r="B56" s="21">
        <v>34966.78</v>
      </c>
      <c r="C56" s="19">
        <v>49823.98</v>
      </c>
      <c r="D56" s="19">
        <v>50000</v>
      </c>
      <c r="E56" s="19">
        <v>76101</v>
      </c>
      <c r="F56" s="19">
        <v>50000</v>
      </c>
    </row>
    <row r="57" spans="1:6" x14ac:dyDescent="0.25">
      <c r="A57" s="14" t="s">
        <v>57</v>
      </c>
      <c r="B57" s="21"/>
      <c r="C57" s="19"/>
      <c r="D57" s="19">
        <v>7000</v>
      </c>
      <c r="E57" s="19"/>
      <c r="F57" s="19">
        <v>7000</v>
      </c>
    </row>
    <row r="58" spans="1:6" x14ac:dyDescent="0.25">
      <c r="A58" s="14" t="s">
        <v>58</v>
      </c>
      <c r="B58" s="21">
        <v>99.79</v>
      </c>
      <c r="C58" s="19">
        <v>110.39</v>
      </c>
      <c r="D58" s="19"/>
      <c r="E58" s="19">
        <v>1744</v>
      </c>
      <c r="F58" s="19">
        <v>100</v>
      </c>
    </row>
    <row r="59" spans="1:6" x14ac:dyDescent="0.25">
      <c r="A59" s="14" t="s">
        <v>59</v>
      </c>
      <c r="B59" s="21">
        <v>48.97</v>
      </c>
      <c r="C59" s="19">
        <v>9213.81</v>
      </c>
      <c r="D59" s="19">
        <v>5000</v>
      </c>
      <c r="E59" s="19">
        <v>34105</v>
      </c>
      <c r="F59" s="19">
        <v>5000</v>
      </c>
    </row>
    <row r="60" spans="1:6" x14ac:dyDescent="0.25">
      <c r="A60" s="14" t="s">
        <v>60</v>
      </c>
      <c r="B60" s="21">
        <v>10669.08</v>
      </c>
      <c r="C60" s="19">
        <v>5560.16</v>
      </c>
      <c r="D60" s="19"/>
      <c r="E60" s="19"/>
      <c r="F60" s="19"/>
    </row>
    <row r="61" spans="1:6" x14ac:dyDescent="0.25">
      <c r="A61" s="14" t="s">
        <v>61</v>
      </c>
      <c r="B61" s="21">
        <v>7770.01</v>
      </c>
      <c r="C61" s="19">
        <v>12982.13</v>
      </c>
      <c r="D61" s="19">
        <v>11000</v>
      </c>
      <c r="E61" s="19">
        <v>9012</v>
      </c>
      <c r="F61" s="19">
        <v>11000</v>
      </c>
    </row>
    <row r="62" spans="1:6" x14ac:dyDescent="0.25">
      <c r="A62" s="14" t="s">
        <v>62</v>
      </c>
      <c r="B62" s="21">
        <v>315.70999999999998</v>
      </c>
      <c r="C62" s="19">
        <v>458.6</v>
      </c>
      <c r="D62" s="19">
        <v>500</v>
      </c>
      <c r="E62" s="19">
        <v>351</v>
      </c>
      <c r="F62" s="19">
        <v>500</v>
      </c>
    </row>
    <row r="63" spans="1:6" x14ac:dyDescent="0.25">
      <c r="A63" s="14" t="s">
        <v>63</v>
      </c>
      <c r="B63" s="21">
        <v>207878.28</v>
      </c>
      <c r="C63" s="19">
        <v>225688.06</v>
      </c>
      <c r="D63" s="19">
        <v>200578</v>
      </c>
      <c r="E63" s="19">
        <v>181824</v>
      </c>
      <c r="F63" s="19">
        <v>243590</v>
      </c>
    </row>
    <row r="64" spans="1:6" x14ac:dyDescent="0.25">
      <c r="A64" s="14" t="s">
        <v>64</v>
      </c>
      <c r="B64" s="22">
        <v>1610</v>
      </c>
      <c r="C64" s="15">
        <v>1610</v>
      </c>
      <c r="D64" s="15">
        <v>1610</v>
      </c>
      <c r="E64" s="15"/>
      <c r="F64" s="15" t="s">
        <v>65</v>
      </c>
    </row>
    <row r="65" spans="1:6" x14ac:dyDescent="0.25">
      <c r="A65" s="31" t="s">
        <v>66</v>
      </c>
      <c r="B65" s="17">
        <f>SUM(B66:B111)</f>
        <v>3256396.7200000007</v>
      </c>
      <c r="C65" s="32">
        <f>SUM(C66:C111)</f>
        <v>3031887.91</v>
      </c>
      <c r="D65" s="32">
        <f>SUM(D66:D111)</f>
        <v>3314507</v>
      </c>
      <c r="E65" s="13">
        <v>3124678</v>
      </c>
      <c r="F65" s="12">
        <f>SUM(F66:F111)</f>
        <v>3356665</v>
      </c>
    </row>
    <row r="66" spans="1:6" x14ac:dyDescent="0.25">
      <c r="A66" s="14" t="s">
        <v>67</v>
      </c>
      <c r="B66" s="21">
        <v>3100</v>
      </c>
      <c r="C66" s="19"/>
      <c r="D66" s="21"/>
      <c r="E66" s="21"/>
      <c r="F66" s="27"/>
    </row>
    <row r="67" spans="1:6" x14ac:dyDescent="0.25">
      <c r="A67" s="14" t="s">
        <v>68</v>
      </c>
      <c r="B67" s="21">
        <v>12700.87</v>
      </c>
      <c r="C67" s="19">
        <v>9297.18</v>
      </c>
      <c r="D67" s="21"/>
      <c r="E67" s="21">
        <v>15716</v>
      </c>
      <c r="F67" s="27">
        <v>17715</v>
      </c>
    </row>
    <row r="68" spans="1:6" x14ac:dyDescent="0.25">
      <c r="A68" s="14" t="s">
        <v>69</v>
      </c>
      <c r="B68" s="21"/>
      <c r="C68" s="19">
        <v>35</v>
      </c>
      <c r="D68" s="21"/>
      <c r="E68" s="21">
        <v>213</v>
      </c>
      <c r="F68" s="27"/>
    </row>
    <row r="69" spans="1:6" x14ac:dyDescent="0.25">
      <c r="A69" s="14" t="s">
        <v>70</v>
      </c>
      <c r="B69" s="21">
        <v>1100</v>
      </c>
      <c r="C69" s="19"/>
      <c r="D69" s="21"/>
      <c r="E69" s="21"/>
      <c r="F69" s="27"/>
    </row>
    <row r="70" spans="1:6" x14ac:dyDescent="0.25">
      <c r="A70" s="14" t="s">
        <v>71</v>
      </c>
      <c r="B70" s="21">
        <v>5000</v>
      </c>
      <c r="C70" s="19"/>
      <c r="D70" s="21"/>
      <c r="E70" s="21"/>
      <c r="F70" s="27"/>
    </row>
    <row r="71" spans="1:6" x14ac:dyDescent="0.25">
      <c r="A71" s="14" t="s">
        <v>72</v>
      </c>
      <c r="B71" s="21">
        <v>2410</v>
      </c>
      <c r="C71" s="19">
        <v>986</v>
      </c>
      <c r="D71" s="21"/>
      <c r="E71" s="21">
        <v>886</v>
      </c>
      <c r="F71" s="27"/>
    </row>
    <row r="72" spans="1:6" x14ac:dyDescent="0.25">
      <c r="A72" s="14" t="s">
        <v>73</v>
      </c>
      <c r="B72" s="21"/>
      <c r="C72" s="19">
        <v>1000</v>
      </c>
      <c r="D72" s="21"/>
      <c r="E72" s="21"/>
      <c r="F72" s="27"/>
    </row>
    <row r="73" spans="1:6" x14ac:dyDescent="0.25">
      <c r="A73" s="14" t="s">
        <v>74</v>
      </c>
      <c r="B73" s="21"/>
      <c r="C73" s="19"/>
      <c r="D73" s="21">
        <v>7875</v>
      </c>
      <c r="E73" s="21">
        <v>7875</v>
      </c>
      <c r="F73" s="27"/>
    </row>
    <row r="74" spans="1:6" x14ac:dyDescent="0.25">
      <c r="A74" s="14" t="s">
        <v>75</v>
      </c>
      <c r="B74" s="21"/>
      <c r="C74" s="19">
        <v>11307.95</v>
      </c>
      <c r="D74" s="21"/>
      <c r="E74" s="21"/>
      <c r="F74" s="27"/>
    </row>
    <row r="75" spans="1:6" x14ac:dyDescent="0.25">
      <c r="A75" s="14" t="s">
        <v>76</v>
      </c>
      <c r="B75" s="21"/>
      <c r="C75" s="19">
        <v>1900</v>
      </c>
      <c r="D75" s="21">
        <v>248090</v>
      </c>
      <c r="E75" s="21"/>
      <c r="F75" s="27">
        <v>136120</v>
      </c>
    </row>
    <row r="76" spans="1:6" x14ac:dyDescent="0.25">
      <c r="A76" s="14" t="s">
        <v>77</v>
      </c>
      <c r="B76" s="21"/>
      <c r="C76" s="19"/>
      <c r="D76" s="21"/>
      <c r="E76" s="21"/>
      <c r="F76" s="33">
        <v>177690</v>
      </c>
    </row>
    <row r="77" spans="1:6" x14ac:dyDescent="0.25">
      <c r="A77" s="14" t="s">
        <v>78</v>
      </c>
      <c r="B77" s="21"/>
      <c r="C77" s="19">
        <v>200</v>
      </c>
      <c r="D77" s="21"/>
      <c r="E77" s="21">
        <v>40</v>
      </c>
      <c r="F77" s="27"/>
    </row>
    <row r="78" spans="1:6" x14ac:dyDescent="0.25">
      <c r="A78" s="14" t="s">
        <v>79</v>
      </c>
      <c r="B78" s="21"/>
      <c r="C78" s="19">
        <v>10000</v>
      </c>
      <c r="D78" s="21">
        <v>10000</v>
      </c>
      <c r="E78" s="21"/>
      <c r="F78" s="27"/>
    </row>
    <row r="79" spans="1:6" x14ac:dyDescent="0.25">
      <c r="A79" s="14" t="s">
        <v>388</v>
      </c>
      <c r="B79" s="21"/>
      <c r="C79" s="19"/>
      <c r="D79" s="21"/>
      <c r="E79" s="21">
        <v>2500</v>
      </c>
      <c r="F79" s="27"/>
    </row>
    <row r="80" spans="1:6" x14ac:dyDescent="0.25">
      <c r="A80" s="14" t="s">
        <v>80</v>
      </c>
      <c r="B80" s="21"/>
      <c r="C80" s="19"/>
      <c r="D80" s="21"/>
      <c r="E80" s="21">
        <v>3619</v>
      </c>
      <c r="F80" s="27">
        <v>3000</v>
      </c>
    </row>
    <row r="81" spans="1:6" x14ac:dyDescent="0.25">
      <c r="A81" s="14" t="s">
        <v>81</v>
      </c>
      <c r="B81" s="21"/>
      <c r="C81" s="19">
        <v>36247</v>
      </c>
      <c r="D81" s="21">
        <v>168060</v>
      </c>
      <c r="E81" s="21">
        <v>168060</v>
      </c>
      <c r="F81" s="19">
        <v>155440</v>
      </c>
    </row>
    <row r="82" spans="1:6" x14ac:dyDescent="0.25">
      <c r="A82" s="14" t="s">
        <v>82</v>
      </c>
      <c r="B82" s="21">
        <v>356253</v>
      </c>
      <c r="C82" s="19">
        <v>6668</v>
      </c>
      <c r="D82" s="21"/>
      <c r="E82" s="21"/>
      <c r="F82" s="34"/>
    </row>
    <row r="83" spans="1:6" x14ac:dyDescent="0.25">
      <c r="A83" s="14" t="s">
        <v>83</v>
      </c>
      <c r="B83" s="21">
        <v>13436.38</v>
      </c>
      <c r="C83" s="19">
        <v>12960.64</v>
      </c>
      <c r="D83" s="21">
        <v>12985</v>
      </c>
      <c r="E83" s="21">
        <v>12983</v>
      </c>
      <c r="F83" s="19">
        <v>13161</v>
      </c>
    </row>
    <row r="84" spans="1:6" x14ac:dyDescent="0.25">
      <c r="A84" s="30" t="s">
        <v>84</v>
      </c>
      <c r="B84" s="21">
        <v>2558685</v>
      </c>
      <c r="C84" s="19">
        <v>2527802</v>
      </c>
      <c r="D84" s="21">
        <v>2579140</v>
      </c>
      <c r="E84" s="21">
        <v>2596710</v>
      </c>
      <c r="F84" s="19">
        <v>2563711</v>
      </c>
    </row>
    <row r="85" spans="1:6" x14ac:dyDescent="0.25">
      <c r="A85" s="30" t="s">
        <v>85</v>
      </c>
      <c r="B85" s="21">
        <v>16643.39</v>
      </c>
      <c r="C85" s="19">
        <v>22041.919999999998</v>
      </c>
      <c r="D85" s="21">
        <v>21000</v>
      </c>
      <c r="E85" s="21">
        <v>21990</v>
      </c>
      <c r="F85" s="19">
        <v>21799</v>
      </c>
    </row>
    <row r="86" spans="1:6" x14ac:dyDescent="0.25">
      <c r="A86" s="30" t="s">
        <v>86</v>
      </c>
      <c r="B86" s="21">
        <v>11180.47</v>
      </c>
      <c r="C86" s="19">
        <v>11542.52</v>
      </c>
      <c r="D86" s="21">
        <v>11535</v>
      </c>
      <c r="E86" s="21">
        <v>11535</v>
      </c>
      <c r="F86" s="19">
        <v>11398</v>
      </c>
    </row>
    <row r="87" spans="1:6" x14ac:dyDescent="0.25">
      <c r="A87" s="30" t="s">
        <v>87</v>
      </c>
      <c r="B87" s="21">
        <v>1233.17</v>
      </c>
      <c r="C87" s="19">
        <v>1255.31</v>
      </c>
      <c r="D87" s="21">
        <v>1260</v>
      </c>
      <c r="E87" s="21">
        <v>1254</v>
      </c>
      <c r="F87" s="19">
        <v>1260</v>
      </c>
    </row>
    <row r="88" spans="1:6" x14ac:dyDescent="0.25">
      <c r="A88" s="30" t="s">
        <v>88</v>
      </c>
      <c r="B88" s="21">
        <v>2312.79</v>
      </c>
      <c r="C88" s="19">
        <v>2229.56</v>
      </c>
      <c r="D88" s="21">
        <v>2110</v>
      </c>
      <c r="E88" s="21">
        <v>2109</v>
      </c>
      <c r="F88" s="19">
        <v>2110</v>
      </c>
    </row>
    <row r="89" spans="1:6" x14ac:dyDescent="0.25">
      <c r="A89" s="30" t="s">
        <v>89</v>
      </c>
      <c r="B89" s="21">
        <v>7883.7</v>
      </c>
      <c r="C89" s="19">
        <v>7821.33</v>
      </c>
      <c r="D89" s="21">
        <v>7805</v>
      </c>
      <c r="E89" s="21">
        <v>7803</v>
      </c>
      <c r="F89" s="19">
        <v>7805</v>
      </c>
    </row>
    <row r="90" spans="1:6" x14ac:dyDescent="0.25">
      <c r="A90" s="30" t="s">
        <v>90</v>
      </c>
      <c r="B90" s="21">
        <v>37342</v>
      </c>
      <c r="C90" s="19">
        <v>38135</v>
      </c>
      <c r="D90" s="21">
        <v>39100</v>
      </c>
      <c r="E90" s="21">
        <v>22017</v>
      </c>
      <c r="F90" s="19">
        <v>39100</v>
      </c>
    </row>
    <row r="91" spans="1:6" x14ac:dyDescent="0.25">
      <c r="A91" s="30" t="s">
        <v>91</v>
      </c>
      <c r="B91" s="35">
        <v>132187.64000000001</v>
      </c>
      <c r="C91" s="19">
        <v>158161.88</v>
      </c>
      <c r="D91" s="21">
        <v>150547</v>
      </c>
      <c r="E91" s="21">
        <v>156103</v>
      </c>
      <c r="F91" s="19">
        <v>150056</v>
      </c>
    </row>
    <row r="92" spans="1:6" x14ac:dyDescent="0.25">
      <c r="A92" s="30" t="s">
        <v>92</v>
      </c>
      <c r="B92" s="21">
        <v>9036.5300000000007</v>
      </c>
      <c r="C92" s="19">
        <v>8376.73</v>
      </c>
      <c r="D92" s="21">
        <v>10000</v>
      </c>
      <c r="E92" s="21">
        <v>4645</v>
      </c>
      <c r="F92" s="19">
        <v>10000</v>
      </c>
    </row>
    <row r="93" spans="1:6" x14ac:dyDescent="0.25">
      <c r="A93" s="30" t="s">
        <v>93</v>
      </c>
      <c r="B93" s="21"/>
      <c r="C93" s="19">
        <v>288</v>
      </c>
      <c r="D93" s="21"/>
      <c r="E93" s="21">
        <v>598</v>
      </c>
      <c r="F93" s="19">
        <v>50</v>
      </c>
    </row>
    <row r="94" spans="1:6" x14ac:dyDescent="0.25">
      <c r="A94" s="30" t="s">
        <v>94</v>
      </c>
      <c r="B94" s="21"/>
      <c r="C94" s="19"/>
      <c r="D94" s="21"/>
      <c r="E94" s="21"/>
      <c r="F94" s="19">
        <v>250</v>
      </c>
    </row>
    <row r="95" spans="1:6" x14ac:dyDescent="0.25">
      <c r="A95" s="30" t="s">
        <v>95</v>
      </c>
      <c r="B95" s="21">
        <v>23900.27</v>
      </c>
      <c r="C95" s="19">
        <v>40280.629999999997</v>
      </c>
      <c r="D95" s="21">
        <v>35000</v>
      </c>
      <c r="E95" s="21">
        <v>38320</v>
      </c>
      <c r="F95" s="19">
        <v>35000</v>
      </c>
    </row>
    <row r="96" spans="1:6" x14ac:dyDescent="0.25">
      <c r="A96" s="30" t="s">
        <v>96</v>
      </c>
      <c r="B96" s="21">
        <v>3292.56</v>
      </c>
      <c r="C96" s="19">
        <v>76749.22</v>
      </c>
      <c r="D96" s="21"/>
      <c r="E96" s="21">
        <v>2569</v>
      </c>
      <c r="F96" s="19"/>
    </row>
    <row r="97" spans="1:6" x14ac:dyDescent="0.25">
      <c r="A97" s="30" t="s">
        <v>97</v>
      </c>
      <c r="B97" s="21">
        <v>13292</v>
      </c>
      <c r="C97" s="19"/>
      <c r="D97" s="21"/>
      <c r="E97" s="21"/>
      <c r="F97" s="19"/>
    </row>
    <row r="98" spans="1:6" x14ac:dyDescent="0.25">
      <c r="A98" s="30" t="s">
        <v>98</v>
      </c>
      <c r="B98" s="21"/>
      <c r="C98" s="19"/>
      <c r="D98" s="21"/>
      <c r="E98" s="21">
        <v>238</v>
      </c>
      <c r="F98" s="19"/>
    </row>
    <row r="99" spans="1:6" x14ac:dyDescent="0.25">
      <c r="A99" s="30" t="s">
        <v>99</v>
      </c>
      <c r="B99" s="21">
        <v>29311.43</v>
      </c>
      <c r="C99" s="19">
        <v>27202.04</v>
      </c>
      <c r="D99" s="21"/>
      <c r="E99" s="21">
        <v>15664</v>
      </c>
      <c r="F99" s="19"/>
    </row>
    <row r="100" spans="1:6" x14ac:dyDescent="0.25">
      <c r="A100" s="30" t="s">
        <v>100</v>
      </c>
      <c r="B100" s="21">
        <v>9295.52</v>
      </c>
      <c r="C100" s="19">
        <v>10000</v>
      </c>
      <c r="D100" s="21">
        <v>9000</v>
      </c>
      <c r="E100" s="21">
        <v>11500</v>
      </c>
      <c r="F100" s="19">
        <v>11000</v>
      </c>
    </row>
    <row r="101" spans="1:6" x14ac:dyDescent="0.25">
      <c r="A101" s="30" t="s">
        <v>385</v>
      </c>
      <c r="B101" s="21"/>
      <c r="C101" s="19"/>
      <c r="D101" s="21">
        <v>1000</v>
      </c>
      <c r="E101" s="21">
        <v>1000</v>
      </c>
      <c r="F101" s="19"/>
    </row>
    <row r="102" spans="1:6" x14ac:dyDescent="0.25">
      <c r="A102" s="30" t="s">
        <v>101</v>
      </c>
      <c r="B102" s="21">
        <v>2000</v>
      </c>
      <c r="C102" s="19"/>
      <c r="D102" s="21"/>
      <c r="E102" s="21"/>
      <c r="F102" s="19"/>
    </row>
    <row r="103" spans="1:6" x14ac:dyDescent="0.25">
      <c r="A103" s="30" t="s">
        <v>102</v>
      </c>
      <c r="B103" s="21"/>
      <c r="C103" s="19">
        <v>800</v>
      </c>
      <c r="D103" s="21"/>
      <c r="E103" s="21"/>
      <c r="F103" s="19"/>
    </row>
    <row r="104" spans="1:6" x14ac:dyDescent="0.25">
      <c r="A104" s="30" t="s">
        <v>103</v>
      </c>
      <c r="B104" s="21"/>
      <c r="C104" s="19">
        <v>700</v>
      </c>
      <c r="D104" s="21"/>
      <c r="E104" s="21">
        <v>430</v>
      </c>
      <c r="F104" s="19"/>
    </row>
    <row r="105" spans="1:6" x14ac:dyDescent="0.25">
      <c r="A105" s="30" t="s">
        <v>104</v>
      </c>
      <c r="B105" s="21">
        <v>3500</v>
      </c>
      <c r="C105" s="19">
        <v>2900</v>
      </c>
      <c r="D105" s="21"/>
      <c r="E105" s="21">
        <v>4500</v>
      </c>
      <c r="F105" s="19"/>
    </row>
    <row r="106" spans="1:6" x14ac:dyDescent="0.25">
      <c r="A106" s="30" t="s">
        <v>105</v>
      </c>
      <c r="B106" s="21">
        <v>400</v>
      </c>
      <c r="C106" s="19"/>
      <c r="D106" s="21"/>
      <c r="E106" s="21">
        <v>800</v>
      </c>
      <c r="F106" s="19"/>
    </row>
    <row r="107" spans="1:6" x14ac:dyDescent="0.25">
      <c r="A107" s="30" t="s">
        <v>106</v>
      </c>
      <c r="B107" s="21">
        <v>100</v>
      </c>
      <c r="C107" s="19"/>
      <c r="D107" s="21"/>
      <c r="E107" s="21"/>
      <c r="F107" s="19"/>
    </row>
    <row r="108" spans="1:6" x14ac:dyDescent="0.25">
      <c r="A108" s="30" t="s">
        <v>107</v>
      </c>
      <c r="B108" s="21">
        <v>400</v>
      </c>
      <c r="C108" s="19"/>
      <c r="D108" s="21"/>
      <c r="E108" s="21"/>
      <c r="F108" s="19"/>
    </row>
    <row r="109" spans="1:6" x14ac:dyDescent="0.25">
      <c r="A109" s="30" t="s">
        <v>108</v>
      </c>
      <c r="B109" s="21">
        <v>400</v>
      </c>
      <c r="C109" s="19"/>
      <c r="D109" s="21"/>
      <c r="E109" s="21"/>
      <c r="F109" s="19"/>
    </row>
    <row r="110" spans="1:6" x14ac:dyDescent="0.25">
      <c r="A110" s="30" t="s">
        <v>389</v>
      </c>
      <c r="B110" s="21"/>
      <c r="C110" s="19"/>
      <c r="D110" s="21"/>
      <c r="E110" s="21">
        <v>13000</v>
      </c>
      <c r="F110" s="19"/>
    </row>
    <row r="111" spans="1:6" ht="15.75" thickBot="1" x14ac:dyDescent="0.3">
      <c r="A111" s="36" t="s">
        <v>109</v>
      </c>
      <c r="B111" s="37"/>
      <c r="C111" s="38">
        <v>5000</v>
      </c>
      <c r="D111" s="37"/>
      <c r="E111" s="37"/>
      <c r="F111" s="38"/>
    </row>
    <row r="112" spans="1:6" ht="16.5" thickBot="1" x14ac:dyDescent="0.3">
      <c r="A112" s="5" t="s">
        <v>110</v>
      </c>
      <c r="B112" s="6">
        <f>B113+B118</f>
        <v>761844.80999999994</v>
      </c>
      <c r="C112" s="7">
        <f>C113+C118</f>
        <v>828632.72</v>
      </c>
      <c r="D112" s="7">
        <f>D113+D118</f>
        <v>3640369</v>
      </c>
      <c r="E112" s="7">
        <v>735941</v>
      </c>
      <c r="F112" s="7">
        <f>F113+F118</f>
        <v>4291701</v>
      </c>
    </row>
    <row r="113" spans="1:7" x14ac:dyDescent="0.25">
      <c r="A113" s="39" t="s">
        <v>111</v>
      </c>
      <c r="B113" s="10">
        <f>SUM(B114:B117)</f>
        <v>761844.80999999994</v>
      </c>
      <c r="C113" s="10">
        <f>SUM(C114:C117)</f>
        <v>407077.83</v>
      </c>
      <c r="D113" s="10">
        <f>SUM(D114:D117)</f>
        <v>806230</v>
      </c>
      <c r="E113" s="10">
        <v>373344</v>
      </c>
      <c r="F113" s="10">
        <f>SUM(F114:F117)</f>
        <v>678900</v>
      </c>
    </row>
    <row r="114" spans="1:7" x14ac:dyDescent="0.25">
      <c r="A114" s="14" t="s">
        <v>112</v>
      </c>
      <c r="B114" s="21">
        <v>436897.41</v>
      </c>
      <c r="C114" s="19">
        <v>268273.05</v>
      </c>
      <c r="D114" s="19">
        <v>198038</v>
      </c>
      <c r="E114" s="19">
        <v>162074</v>
      </c>
      <c r="F114" s="19">
        <v>160000</v>
      </c>
    </row>
    <row r="115" spans="1:7" x14ac:dyDescent="0.25">
      <c r="A115" s="30" t="s">
        <v>113</v>
      </c>
      <c r="B115" s="21">
        <v>9322.5400000000009</v>
      </c>
      <c r="C115" s="19">
        <v>24756.65</v>
      </c>
      <c r="D115" s="19">
        <v>39700</v>
      </c>
      <c r="E115" s="19">
        <v>39820</v>
      </c>
      <c r="F115" s="19">
        <v>30000</v>
      </c>
    </row>
    <row r="116" spans="1:7" x14ac:dyDescent="0.25">
      <c r="A116" s="30" t="s">
        <v>114</v>
      </c>
      <c r="B116" s="21"/>
      <c r="C116" s="19"/>
      <c r="D116" s="19">
        <v>5000</v>
      </c>
      <c r="E116" s="19">
        <v>4644</v>
      </c>
      <c r="F116" s="19"/>
    </row>
    <row r="117" spans="1:7" x14ac:dyDescent="0.25">
      <c r="A117" s="40" t="s">
        <v>115</v>
      </c>
      <c r="B117" s="22">
        <v>315624.86</v>
      </c>
      <c r="C117" s="15">
        <v>114048.13</v>
      </c>
      <c r="D117" s="15">
        <v>563492</v>
      </c>
      <c r="E117" s="15">
        <v>166805</v>
      </c>
      <c r="F117" s="15">
        <v>488900</v>
      </c>
      <c r="G117" s="126"/>
    </row>
    <row r="118" spans="1:7" x14ac:dyDescent="0.25">
      <c r="A118" s="41" t="s">
        <v>116</v>
      </c>
      <c r="B118" s="42">
        <f>SUM(B119:B128)</f>
        <v>0</v>
      </c>
      <c r="C118" s="42">
        <f>SUM(C119:C128)</f>
        <v>421554.89</v>
      </c>
      <c r="D118" s="42">
        <f>SUM(D119:D128)</f>
        <v>2834139</v>
      </c>
      <c r="E118" s="42">
        <v>362597</v>
      </c>
      <c r="F118" s="42">
        <f>SUM(F119:F128)</f>
        <v>3612801</v>
      </c>
    </row>
    <row r="119" spans="1:7" x14ac:dyDescent="0.25">
      <c r="A119" s="14" t="s">
        <v>117</v>
      </c>
      <c r="B119" s="21"/>
      <c r="C119" s="19">
        <v>13200</v>
      </c>
      <c r="D119" s="21"/>
      <c r="E119" s="21"/>
      <c r="F119" s="19"/>
    </row>
    <row r="120" spans="1:7" x14ac:dyDescent="0.25">
      <c r="A120" s="14" t="s">
        <v>118</v>
      </c>
      <c r="B120" s="21"/>
      <c r="C120" s="19">
        <v>218060.65</v>
      </c>
      <c r="D120" s="21"/>
      <c r="E120" s="21"/>
      <c r="F120" s="19"/>
    </row>
    <row r="121" spans="1:7" x14ac:dyDescent="0.25">
      <c r="A121" s="14" t="s">
        <v>119</v>
      </c>
      <c r="B121" s="21"/>
      <c r="C121" s="19"/>
      <c r="D121" s="21">
        <v>9000</v>
      </c>
      <c r="E121" s="21">
        <v>9000</v>
      </c>
      <c r="F121" s="19"/>
    </row>
    <row r="122" spans="1:7" x14ac:dyDescent="0.25">
      <c r="A122" s="14" t="s">
        <v>120</v>
      </c>
      <c r="B122" s="21"/>
      <c r="C122" s="19"/>
      <c r="D122" s="19">
        <v>30000</v>
      </c>
      <c r="E122" s="19">
        <v>27000</v>
      </c>
      <c r="F122" s="19"/>
    </row>
    <row r="123" spans="1:7" x14ac:dyDescent="0.25">
      <c r="A123" s="14" t="s">
        <v>121</v>
      </c>
      <c r="B123" s="21"/>
      <c r="C123" s="19"/>
      <c r="D123" s="21">
        <v>19950</v>
      </c>
      <c r="E123" s="21">
        <v>19924</v>
      </c>
      <c r="F123" s="19"/>
    </row>
    <row r="124" spans="1:7" x14ac:dyDescent="0.25">
      <c r="A124" s="14" t="s">
        <v>122</v>
      </c>
      <c r="B124" s="21"/>
      <c r="C124" s="19"/>
      <c r="D124" s="19">
        <v>306673</v>
      </c>
      <c r="E124" s="19">
        <v>306673</v>
      </c>
      <c r="F124" s="19"/>
    </row>
    <row r="125" spans="1:7" x14ac:dyDescent="0.25">
      <c r="A125" s="14" t="s">
        <v>123</v>
      </c>
      <c r="B125" s="21"/>
      <c r="C125" s="19"/>
      <c r="D125" s="19">
        <v>394135</v>
      </c>
      <c r="E125" s="19"/>
      <c r="F125" s="29">
        <v>771232</v>
      </c>
    </row>
    <row r="126" spans="1:7" x14ac:dyDescent="0.25">
      <c r="A126" s="14" t="s">
        <v>124</v>
      </c>
      <c r="B126" s="21"/>
      <c r="C126" s="19">
        <v>190294.24</v>
      </c>
      <c r="D126" s="19">
        <v>1048711</v>
      </c>
      <c r="E126" s="19"/>
      <c r="F126" s="29">
        <v>935777</v>
      </c>
      <c r="G126" s="126"/>
    </row>
    <row r="127" spans="1:7" x14ac:dyDescent="0.25">
      <c r="A127" s="14" t="s">
        <v>125</v>
      </c>
      <c r="B127" s="21"/>
      <c r="C127" s="19"/>
      <c r="D127" s="19"/>
      <c r="E127" s="19"/>
      <c r="F127" s="29">
        <v>59593</v>
      </c>
      <c r="G127" s="1"/>
    </row>
    <row r="128" spans="1:7" ht="15.75" thickBot="1" x14ac:dyDescent="0.3">
      <c r="A128" s="14" t="s">
        <v>126</v>
      </c>
      <c r="B128" s="37"/>
      <c r="C128" s="43"/>
      <c r="D128" s="19">
        <v>1025670</v>
      </c>
      <c r="E128" s="19"/>
      <c r="F128" s="29">
        <v>1846199</v>
      </c>
    </row>
    <row r="129" spans="1:7" ht="16.5" thickBot="1" x14ac:dyDescent="0.3">
      <c r="A129" s="44" t="s">
        <v>127</v>
      </c>
      <c r="B129" s="45">
        <f>SUM(B130:B131)</f>
        <v>1094060.6099999999</v>
      </c>
      <c r="C129" s="45">
        <f>SUM(C130:C131)</f>
        <v>353398.41</v>
      </c>
      <c r="D129" s="7">
        <f>SUM(D130:D131)</f>
        <v>574727</v>
      </c>
      <c r="E129" s="7">
        <v>574727</v>
      </c>
      <c r="F129" s="7">
        <f>SUM(F130:F131)</f>
        <v>476000</v>
      </c>
    </row>
    <row r="130" spans="1:7" x14ac:dyDescent="0.25">
      <c r="A130" s="14" t="s">
        <v>128</v>
      </c>
      <c r="B130" s="19">
        <v>277663</v>
      </c>
      <c r="C130" s="19">
        <v>97009.26</v>
      </c>
      <c r="D130" s="19">
        <v>144727</v>
      </c>
      <c r="E130" s="19">
        <v>144727</v>
      </c>
      <c r="F130" s="29">
        <v>76000</v>
      </c>
      <c r="G130" s="126"/>
    </row>
    <row r="131" spans="1:7" ht="15.75" thickBot="1" x14ac:dyDescent="0.3">
      <c r="A131" s="14" t="s">
        <v>129</v>
      </c>
      <c r="B131" s="38">
        <v>816397.61</v>
      </c>
      <c r="C131" s="38">
        <v>256389.15</v>
      </c>
      <c r="D131" s="38">
        <v>430000</v>
      </c>
      <c r="E131" s="38">
        <v>430000</v>
      </c>
      <c r="F131" s="38">
        <v>400000</v>
      </c>
    </row>
    <row r="132" spans="1:7" ht="16.5" thickBot="1" x14ac:dyDescent="0.3">
      <c r="A132" s="46" t="s">
        <v>130</v>
      </c>
      <c r="B132" s="47">
        <f>B112+B3+B129</f>
        <v>12467140.450000001</v>
      </c>
      <c r="C132" s="48">
        <f>C129+C112+C3</f>
        <v>12098829.43</v>
      </c>
      <c r="D132" s="48">
        <f>D3+D112+D129</f>
        <v>15903556</v>
      </c>
      <c r="E132" s="48">
        <v>12503222</v>
      </c>
      <c r="F132" s="48">
        <f>F3+F112+F129</f>
        <v>16458438</v>
      </c>
    </row>
    <row r="133" spans="1:7" x14ac:dyDescent="0.25">
      <c r="A133" s="49"/>
    </row>
  </sheetData>
  <sheetProtection selectLockedCells="1" selectUnlockedCells="1"/>
  <mergeCells count="1">
    <mergeCell ref="A1:F1"/>
  </mergeCells>
  <phoneticPr fontId="0" type="noConversion"/>
  <pageMargins left="0.70833333333333337" right="0.70833333333333337" top="0.74791666666666667" bottom="0.74791666666666667" header="0.51180555555555551" footer="0.51180555555555551"/>
  <pageSetup paperSize="9" scale="66" firstPageNumber="0" fitToHeight="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06"/>
  <sheetViews>
    <sheetView topLeftCell="B1" workbookViewId="0">
      <pane xSplit="2" ySplit="9" topLeftCell="J130" activePane="bottomRight" state="frozen"/>
      <selection activeCell="B1" sqref="B1"/>
      <selection pane="topRight" activeCell="L1" sqref="L1"/>
      <selection pane="bottomLeft" activeCell="B157" sqref="B157"/>
      <selection pane="bottomRight" activeCell="R9" sqref="R9"/>
    </sheetView>
  </sheetViews>
  <sheetFormatPr defaultRowHeight="12.75" x14ac:dyDescent="0.2"/>
  <cols>
    <col min="1" max="1" width="0" style="50" hidden="1" customWidth="1"/>
    <col min="2" max="2" width="18.85546875" style="50" customWidth="1"/>
    <col min="3" max="3" width="52.28515625" style="50" customWidth="1"/>
    <col min="4" max="4" width="11.7109375" style="51" customWidth="1"/>
    <col min="5" max="5" width="11.42578125" style="51" customWidth="1"/>
    <col min="6" max="7" width="9.140625" style="50"/>
    <col min="8" max="9" width="10.140625" style="50" customWidth="1"/>
    <col min="10" max="11" width="9.140625" style="50"/>
    <col min="12" max="13" width="12.7109375" style="52" customWidth="1"/>
    <col min="14" max="14" width="11.7109375" style="53" customWidth="1"/>
    <col min="15" max="19" width="10.140625" style="53" customWidth="1"/>
    <col min="20" max="21" width="12.7109375" style="52" customWidth="1"/>
    <col min="22" max="22" width="11.7109375" style="53" customWidth="1"/>
    <col min="23" max="23" width="10.140625" style="53" customWidth="1"/>
    <col min="24" max="16384" width="9.140625" style="50"/>
  </cols>
  <sheetData>
    <row r="1" spans="1:23" x14ac:dyDescent="0.2">
      <c r="A1" s="54"/>
      <c r="E1" s="52"/>
    </row>
    <row r="2" spans="1:23" ht="15.75" x14ac:dyDescent="0.25">
      <c r="A2" s="54"/>
      <c r="B2" s="55"/>
      <c r="D2" s="56"/>
      <c r="E2" s="56"/>
      <c r="F2" s="57"/>
      <c r="L2" s="58"/>
      <c r="M2" s="58"/>
      <c r="N2" s="59"/>
      <c r="O2" s="60"/>
      <c r="P2" s="60"/>
      <c r="Q2" s="60"/>
      <c r="R2" s="60"/>
      <c r="S2" s="60"/>
      <c r="T2" s="58"/>
      <c r="U2" s="58"/>
      <c r="V2" s="59"/>
      <c r="W2" s="60"/>
    </row>
    <row r="3" spans="1:23" ht="18" x14ac:dyDescent="0.25">
      <c r="A3" s="61"/>
      <c r="B3" s="62" t="s">
        <v>131</v>
      </c>
      <c r="C3" s="62"/>
      <c r="D3" s="62"/>
      <c r="E3" s="62"/>
      <c r="L3" s="53"/>
      <c r="M3" s="53"/>
      <c r="T3" s="53"/>
      <c r="U3" s="53"/>
    </row>
    <row r="4" spans="1:23" ht="13.5" thickBot="1" x14ac:dyDescent="0.25">
      <c r="A4" s="61"/>
      <c r="C4" s="63"/>
      <c r="D4" s="52"/>
      <c r="E4" s="52"/>
      <c r="F4" s="53"/>
      <c r="H4" s="53"/>
    </row>
    <row r="5" spans="1:23" ht="13.5" thickBot="1" x14ac:dyDescent="0.25">
      <c r="A5" s="61"/>
      <c r="D5" s="762" t="s">
        <v>132</v>
      </c>
      <c r="E5" s="762"/>
      <c r="F5" s="762"/>
      <c r="G5" s="762"/>
      <c r="H5" s="763" t="s">
        <v>133</v>
      </c>
      <c r="I5" s="763"/>
      <c r="J5" s="763"/>
      <c r="K5" s="763"/>
      <c r="L5" s="757" t="s">
        <v>2</v>
      </c>
      <c r="M5" s="757"/>
      <c r="N5" s="757"/>
      <c r="O5" s="757"/>
      <c r="P5" s="757" t="s">
        <v>391</v>
      </c>
      <c r="Q5" s="757"/>
      <c r="R5" s="757"/>
      <c r="S5" s="757"/>
      <c r="T5" s="757" t="s">
        <v>387</v>
      </c>
      <c r="U5" s="757"/>
      <c r="V5" s="757"/>
      <c r="W5" s="757"/>
    </row>
    <row r="6" spans="1:23" ht="12.75" customHeight="1" thickBot="1" x14ac:dyDescent="0.25">
      <c r="A6" s="61"/>
      <c r="B6" s="759" t="s">
        <v>134</v>
      </c>
      <c r="C6" s="759"/>
      <c r="D6" s="129" t="s">
        <v>135</v>
      </c>
      <c r="E6" s="760" t="s">
        <v>136</v>
      </c>
      <c r="F6" s="760"/>
      <c r="G6" s="760"/>
      <c r="H6" s="129" t="s">
        <v>135</v>
      </c>
      <c r="I6" s="761" t="s">
        <v>137</v>
      </c>
      <c r="J6" s="761"/>
      <c r="K6" s="761"/>
      <c r="L6" s="130" t="s">
        <v>135</v>
      </c>
      <c r="M6" s="758" t="s">
        <v>138</v>
      </c>
      <c r="N6" s="758"/>
      <c r="O6" s="758"/>
      <c r="P6" s="130" t="s">
        <v>135</v>
      </c>
      <c r="Q6" s="758" t="s">
        <v>138</v>
      </c>
      <c r="R6" s="758"/>
      <c r="S6" s="758"/>
      <c r="T6" s="130" t="s">
        <v>135</v>
      </c>
      <c r="U6" s="758" t="s">
        <v>139</v>
      </c>
      <c r="V6" s="758"/>
      <c r="W6" s="758"/>
    </row>
    <row r="7" spans="1:23" ht="24.75" thickBot="1" x14ac:dyDescent="0.25">
      <c r="A7" s="61"/>
      <c r="B7" s="759"/>
      <c r="C7" s="759"/>
      <c r="D7" s="131" t="s">
        <v>140</v>
      </c>
      <c r="E7" s="132" t="s">
        <v>141</v>
      </c>
      <c r="F7" s="133" t="s">
        <v>142</v>
      </c>
      <c r="G7" s="134" t="s">
        <v>143</v>
      </c>
      <c r="H7" s="131" t="s">
        <v>144</v>
      </c>
      <c r="I7" s="132" t="s">
        <v>141</v>
      </c>
      <c r="J7" s="133" t="s">
        <v>142</v>
      </c>
      <c r="K7" s="135" t="s">
        <v>143</v>
      </c>
      <c r="L7" s="136" t="s">
        <v>145</v>
      </c>
      <c r="M7" s="137" t="s">
        <v>141</v>
      </c>
      <c r="N7" s="138" t="s">
        <v>142</v>
      </c>
      <c r="O7" s="139" t="s">
        <v>143</v>
      </c>
      <c r="P7" s="136" t="s">
        <v>145</v>
      </c>
      <c r="Q7" s="137" t="s">
        <v>141</v>
      </c>
      <c r="R7" s="138" t="s">
        <v>142</v>
      </c>
      <c r="S7" s="139" t="s">
        <v>143</v>
      </c>
      <c r="T7" s="136" t="s">
        <v>146</v>
      </c>
      <c r="U7" s="137" t="s">
        <v>141</v>
      </c>
      <c r="V7" s="138" t="s">
        <v>142</v>
      </c>
      <c r="W7" s="139" t="s">
        <v>143</v>
      </c>
    </row>
    <row r="8" spans="1:23" ht="24" customHeight="1" thickBot="1" x14ac:dyDescent="0.25">
      <c r="A8" s="61"/>
      <c r="B8" s="140" t="s">
        <v>147</v>
      </c>
      <c r="C8" s="141"/>
      <c r="D8" s="142" t="e">
        <f>E8+F8+G8</f>
        <v>#REF!</v>
      </c>
      <c r="E8" s="143" t="e">
        <f>E10+E24+E38+E48+E54+E70+E78+E93+E97+E120+E130+E139+E151+E174+E175</f>
        <v>#REF!</v>
      </c>
      <c r="F8" s="143" t="e">
        <f>F10+F24+F38+F48+F54+F70+F78+F93+F97+F120+F130+F139+F151+F174+F175</f>
        <v>#REF!</v>
      </c>
      <c r="G8" s="144" t="e">
        <f>G10+G24+G38+G48+G54+G70+G78+G93+G97+G120+G130+G139+G151+G174+G175</f>
        <v>#REF!</v>
      </c>
      <c r="H8" s="142" t="e">
        <f>I8+J8+K8</f>
        <v>#REF!</v>
      </c>
      <c r="I8" s="143" t="e">
        <f>I10+I24+I38+I48+I54+I70+I78+I93+I97+I120+I130+I139+I151+I174+I175</f>
        <v>#REF!</v>
      </c>
      <c r="J8" s="143" t="e">
        <f>J10+J24+J38+J48+J54+J70+J78+J93+J97+J120+J130+J139+J151+J174+J175</f>
        <v>#REF!</v>
      </c>
      <c r="K8" s="145" t="e">
        <f>K10+K24+K38+K48+K54+K70+K78+K93+K97+K120+K130+K139+K151+K174+K175</f>
        <v>#REF!</v>
      </c>
      <c r="L8" s="146" t="e">
        <f>SUM(M8:O8)</f>
        <v>#REF!</v>
      </c>
      <c r="M8" s="143" t="e">
        <f>M10+M24+M38+M48+M54+M70+M78+M93+M97+M120+M130+M139+M151+M174+M175</f>
        <v>#REF!</v>
      </c>
      <c r="N8" s="143" t="e">
        <f>N10+N24+N38+N48+N54+N70+N78+N93+N97+N120+N130+N139+N151+N174+N175</f>
        <v>#REF!</v>
      </c>
      <c r="O8" s="145" t="e">
        <f>O10+O24+O38+O48+O54+O70+O78+O93+O97+O120+O130+O139+O151+O174+O175</f>
        <v>#REF!</v>
      </c>
      <c r="P8" s="146">
        <v>12339862.450000001</v>
      </c>
      <c r="Q8" s="143">
        <v>10730799.140000001</v>
      </c>
      <c r="R8" s="143">
        <v>957999</v>
      </c>
      <c r="S8" s="145">
        <v>654683.57999999996</v>
      </c>
      <c r="T8" s="146" t="e">
        <f>SUM(U8:W8)</f>
        <v>#REF!</v>
      </c>
      <c r="U8" s="143" t="e">
        <f>U10+U24+U38+U48+U54+U70+U78+U93+U97+U120+U130+U139+U151+U174+U175</f>
        <v>#REF!</v>
      </c>
      <c r="V8" s="143" t="e">
        <f>V10+V24+V38+V48+V54+V70+V78+V93+V97+V120+V130+V139+V151+V174+V175</f>
        <v>#REF!</v>
      </c>
      <c r="W8" s="145" t="e">
        <f>W10+W24+W38+W48+W54+W70+W78+W93+W97+W120+W130+W139+W151+W174+W175</f>
        <v>#REF!</v>
      </c>
    </row>
    <row r="9" spans="1:23" ht="13.5" thickBot="1" x14ac:dyDescent="0.25">
      <c r="A9" s="61"/>
      <c r="B9" s="64" t="s">
        <v>148</v>
      </c>
      <c r="C9" s="65"/>
      <c r="D9" s="66"/>
      <c r="E9" s="67"/>
      <c r="F9" s="68"/>
      <c r="G9" s="67"/>
      <c r="H9" s="67"/>
      <c r="I9" s="67"/>
      <c r="J9" s="67"/>
      <c r="K9" s="67"/>
      <c r="L9" s="66"/>
      <c r="M9" s="69"/>
      <c r="N9" s="68"/>
      <c r="O9" s="69"/>
      <c r="P9" s="248"/>
      <c r="Q9" s="249"/>
      <c r="R9" s="250"/>
      <c r="S9" s="249"/>
      <c r="T9" s="66"/>
      <c r="U9" s="69"/>
      <c r="V9" s="68"/>
      <c r="W9" s="69"/>
    </row>
    <row r="10" spans="1:23" ht="14.25" x14ac:dyDescent="0.2">
      <c r="A10" s="61"/>
      <c r="B10" s="147" t="s">
        <v>149</v>
      </c>
      <c r="C10" s="148"/>
      <c r="D10" s="149">
        <f t="shared" ref="D10:W10" si="0">D11+D16+D20+D21+D22+D23</f>
        <v>249041</v>
      </c>
      <c r="E10" s="150">
        <f t="shared" si="0"/>
        <v>202089</v>
      </c>
      <c r="F10" s="150">
        <f t="shared" si="0"/>
        <v>46952</v>
      </c>
      <c r="G10" s="151">
        <f t="shared" si="0"/>
        <v>0</v>
      </c>
      <c r="H10" s="149">
        <f>H11+H16+H20+H21+H22+H23-1</f>
        <v>182685</v>
      </c>
      <c r="I10" s="150">
        <f t="shared" si="0"/>
        <v>169377</v>
      </c>
      <c r="J10" s="150">
        <f t="shared" si="0"/>
        <v>13309</v>
      </c>
      <c r="K10" s="152">
        <f t="shared" si="0"/>
        <v>0</v>
      </c>
      <c r="L10" s="153" t="e">
        <f t="shared" si="0"/>
        <v>#REF!</v>
      </c>
      <c r="M10" s="150" t="e">
        <f t="shared" si="0"/>
        <v>#REF!</v>
      </c>
      <c r="N10" s="150" t="e">
        <f t="shared" si="0"/>
        <v>#REF!</v>
      </c>
      <c r="O10" s="152" t="e">
        <f t="shared" si="0"/>
        <v>#REF!</v>
      </c>
      <c r="P10" s="211">
        <v>167746.69</v>
      </c>
      <c r="Q10" s="212">
        <v>166090.16</v>
      </c>
      <c r="R10" s="212">
        <v>1656.53</v>
      </c>
      <c r="S10" s="213">
        <v>0</v>
      </c>
      <c r="T10" s="153">
        <f t="shared" si="0"/>
        <v>202120</v>
      </c>
      <c r="U10" s="150">
        <f t="shared" si="0"/>
        <v>179552</v>
      </c>
      <c r="V10" s="150">
        <f t="shared" si="0"/>
        <v>22568</v>
      </c>
      <c r="W10" s="152">
        <f t="shared" si="0"/>
        <v>0</v>
      </c>
    </row>
    <row r="11" spans="1:23" ht="15.75" x14ac:dyDescent="0.25">
      <c r="A11" s="61"/>
      <c r="B11" s="169" t="s">
        <v>150</v>
      </c>
      <c r="C11" s="170" t="s">
        <v>151</v>
      </c>
      <c r="D11" s="171">
        <f>SUM(D12:D15)</f>
        <v>114308</v>
      </c>
      <c r="E11" s="172">
        <f>SUM(E12:E15)</f>
        <v>114308</v>
      </c>
      <c r="F11" s="172">
        <f>SUM(F12:F15)</f>
        <v>0</v>
      </c>
      <c r="G11" s="173">
        <f>SUM(G12:G15)</f>
        <v>0</v>
      </c>
      <c r="H11" s="171">
        <f t="shared" ref="H11:W11" si="1">SUM(H12:H15)</f>
        <v>84347</v>
      </c>
      <c r="I11" s="172">
        <f t="shared" si="1"/>
        <v>84347</v>
      </c>
      <c r="J11" s="172">
        <f t="shared" si="1"/>
        <v>0</v>
      </c>
      <c r="K11" s="174">
        <f t="shared" si="1"/>
        <v>0</v>
      </c>
      <c r="L11" s="175" t="e">
        <f t="shared" si="1"/>
        <v>#REF!</v>
      </c>
      <c r="M11" s="172" t="e">
        <f t="shared" si="1"/>
        <v>#REF!</v>
      </c>
      <c r="N11" s="172" t="e">
        <f t="shared" si="1"/>
        <v>#REF!</v>
      </c>
      <c r="O11" s="174" t="e">
        <f t="shared" si="1"/>
        <v>#REF!</v>
      </c>
      <c r="P11" s="214">
        <v>92823.26</v>
      </c>
      <c r="Q11" s="215">
        <v>92823.26</v>
      </c>
      <c r="R11" s="215">
        <v>0</v>
      </c>
      <c r="S11" s="216">
        <v>0</v>
      </c>
      <c r="T11" s="175">
        <f t="shared" si="1"/>
        <v>100632</v>
      </c>
      <c r="U11" s="172">
        <f t="shared" si="1"/>
        <v>100632</v>
      </c>
      <c r="V11" s="172">
        <f t="shared" si="1"/>
        <v>0</v>
      </c>
      <c r="W11" s="174">
        <f t="shared" si="1"/>
        <v>0</v>
      </c>
    </row>
    <row r="12" spans="1:23" ht="15.75" x14ac:dyDescent="0.25">
      <c r="A12" s="61"/>
      <c r="B12" s="70">
        <v>1</v>
      </c>
      <c r="C12" s="71" t="s">
        <v>152</v>
      </c>
      <c r="D12" s="72">
        <f>SUM(E12:G12)</f>
        <v>49611</v>
      </c>
      <c r="E12" s="73">
        <v>49611</v>
      </c>
      <c r="F12" s="73"/>
      <c r="G12" s="74"/>
      <c r="H12" s="72">
        <f>SUM(I12:K12)</f>
        <v>38616</v>
      </c>
      <c r="I12" s="73">
        <v>38616</v>
      </c>
      <c r="J12" s="73"/>
      <c r="K12" s="75"/>
      <c r="L12" s="76" t="e">
        <f>SUM(M12:O12)</f>
        <v>#REF!</v>
      </c>
      <c r="M12" s="73" t="e">
        <f>'[2]1.Plánovanie, manažment a kontr'!#REF!</f>
        <v>#REF!</v>
      </c>
      <c r="N12" s="73" t="e">
        <f>'[2]1.Plánovanie, manažment a kontr'!#REF!</f>
        <v>#REF!</v>
      </c>
      <c r="O12" s="75" t="e">
        <f>'[2]1.Plánovanie, manažment a kontr'!#REF!</f>
        <v>#REF!</v>
      </c>
      <c r="P12" s="214">
        <v>38175.74</v>
      </c>
      <c r="Q12" s="217">
        <v>38175.74</v>
      </c>
      <c r="R12" s="217">
        <v>0</v>
      </c>
      <c r="S12" s="218">
        <v>0</v>
      </c>
      <c r="T12" s="76">
        <f>SUM(U12:W12)</f>
        <v>39379</v>
      </c>
      <c r="U12" s="73">
        <f>'[2]1.Plánovanie, manažment a kontr'!$H$5</f>
        <v>39379</v>
      </c>
      <c r="V12" s="73">
        <f>'[2]1.Plánovanie, manažment a kontr'!$I$5</f>
        <v>0</v>
      </c>
      <c r="W12" s="75">
        <f>'[2]1.Plánovanie, manažment a kontr'!$J$5</f>
        <v>0</v>
      </c>
    </row>
    <row r="13" spans="1:23" ht="15.75" x14ac:dyDescent="0.25">
      <c r="A13" s="77"/>
      <c r="B13" s="70">
        <v>2</v>
      </c>
      <c r="C13" s="71" t="s">
        <v>153</v>
      </c>
      <c r="D13" s="72">
        <f>SUM(E13:G13)</f>
        <v>26900</v>
      </c>
      <c r="E13" s="73">
        <v>26900</v>
      </c>
      <c r="F13" s="73"/>
      <c r="G13" s="74"/>
      <c r="H13" s="72">
        <f>SUM(I13:K13)</f>
        <v>21177</v>
      </c>
      <c r="I13" s="73">
        <v>21177</v>
      </c>
      <c r="J13" s="73"/>
      <c r="K13" s="75"/>
      <c r="L13" s="76" t="e">
        <f>SUM(M13:O13)</f>
        <v>#REF!</v>
      </c>
      <c r="M13" s="73" t="e">
        <f>'[2]1.Plánovanie, manažment a kontr'!#REF!</f>
        <v>#REF!</v>
      </c>
      <c r="N13" s="73" t="e">
        <f>'[2]1.Plánovanie, manažment a kontr'!#REF!</f>
        <v>#REF!</v>
      </c>
      <c r="O13" s="75" t="e">
        <f>'[2]1.Plánovanie, manažment a kontr'!#REF!</f>
        <v>#REF!</v>
      </c>
      <c r="P13" s="214">
        <v>26838.14</v>
      </c>
      <c r="Q13" s="217">
        <v>26838.14</v>
      </c>
      <c r="R13" s="217">
        <v>0</v>
      </c>
      <c r="S13" s="218">
        <v>0</v>
      </c>
      <c r="T13" s="76">
        <f>SUM(U13:W13)</f>
        <v>26321</v>
      </c>
      <c r="U13" s="73">
        <f>'[2]1.Plánovanie, manažment a kontr'!$H$16</f>
        <v>26321</v>
      </c>
      <c r="V13" s="73">
        <f>'[2]1.Plánovanie, manažment a kontr'!$I$16</f>
        <v>0</v>
      </c>
      <c r="W13" s="75">
        <f>'[2]1.Plánovanie, manažment a kontr'!$J$16</f>
        <v>0</v>
      </c>
    </row>
    <row r="14" spans="1:23" ht="15.75" x14ac:dyDescent="0.25">
      <c r="A14" s="77"/>
      <c r="B14" s="70">
        <v>3</v>
      </c>
      <c r="C14" s="71" t="s">
        <v>154</v>
      </c>
      <c r="D14" s="72">
        <f>SUM(E14:G14)</f>
        <v>37797</v>
      </c>
      <c r="E14" s="73">
        <v>37797</v>
      </c>
      <c r="F14" s="73"/>
      <c r="G14" s="74"/>
      <c r="H14" s="72">
        <f>SUM(I14:K14)</f>
        <v>24554</v>
      </c>
      <c r="I14" s="73">
        <v>24554</v>
      </c>
      <c r="J14" s="73"/>
      <c r="K14" s="75"/>
      <c r="L14" s="76" t="e">
        <f>SUM(M14:O14)</f>
        <v>#REF!</v>
      </c>
      <c r="M14" s="73" t="e">
        <f>'[2]1.Plánovanie, manažment a kontr'!#REF!</f>
        <v>#REF!</v>
      </c>
      <c r="N14" s="73" t="e">
        <f>'[2]1.Plánovanie, manažment a kontr'!#REF!</f>
        <v>#REF!</v>
      </c>
      <c r="O14" s="75" t="e">
        <f>'[2]1.Plánovanie, manažment a kontr'!#REF!</f>
        <v>#REF!</v>
      </c>
      <c r="P14" s="214">
        <v>27809.38</v>
      </c>
      <c r="Q14" s="217">
        <v>27809.38</v>
      </c>
      <c r="R14" s="217">
        <v>0</v>
      </c>
      <c r="S14" s="218">
        <v>0</v>
      </c>
      <c r="T14" s="76">
        <f>SUM(U14:W14)</f>
        <v>34932</v>
      </c>
      <c r="U14" s="73">
        <f>'[2]1.Plánovanie, manažment a kontr'!$H$27</f>
        <v>34932</v>
      </c>
      <c r="V14" s="73">
        <f>'[2]1.Plánovanie, manažment a kontr'!$I$27</f>
        <v>0</v>
      </c>
      <c r="W14" s="75">
        <f>'[2]1.Plánovanie, manažment a kontr'!$J$27</f>
        <v>0</v>
      </c>
    </row>
    <row r="15" spans="1:23" ht="15.75" x14ac:dyDescent="0.25">
      <c r="A15" s="77"/>
      <c r="B15" s="70">
        <v>4</v>
      </c>
      <c r="C15" s="71" t="s">
        <v>155</v>
      </c>
      <c r="D15" s="72">
        <f>SUM(E15:G15)</f>
        <v>0</v>
      </c>
      <c r="E15" s="73"/>
      <c r="F15" s="73"/>
      <c r="G15" s="74"/>
      <c r="H15" s="72">
        <f>SUM(I15:K15)</f>
        <v>0</v>
      </c>
      <c r="I15" s="73">
        <v>0</v>
      </c>
      <c r="J15" s="73"/>
      <c r="K15" s="75"/>
      <c r="L15" s="76" t="e">
        <f>SUM(M15:O15)</f>
        <v>#REF!</v>
      </c>
      <c r="M15" s="73" t="e">
        <f>'[2]1.Plánovanie, manažment a kontr'!#REF!</f>
        <v>#REF!</v>
      </c>
      <c r="N15" s="73" t="e">
        <f>'[2]1.Plánovanie, manažment a kontr'!#REF!</f>
        <v>#REF!</v>
      </c>
      <c r="O15" s="75" t="e">
        <f>'[2]1.Plánovanie, manažment a kontr'!#REF!</f>
        <v>#REF!</v>
      </c>
      <c r="P15" s="214">
        <v>0</v>
      </c>
      <c r="Q15" s="217">
        <v>0</v>
      </c>
      <c r="R15" s="217">
        <v>0</v>
      </c>
      <c r="S15" s="218">
        <v>0</v>
      </c>
      <c r="T15" s="76">
        <f>SUM(U15:W15)</f>
        <v>0</v>
      </c>
      <c r="U15" s="73">
        <f>'[2]1.Plánovanie, manažment a kontr'!$H$31</f>
        <v>0</v>
      </c>
      <c r="V15" s="73">
        <f>'[2]1.Plánovanie, manažment a kontr'!$I$31</f>
        <v>0</v>
      </c>
      <c r="W15" s="75">
        <f>'[2]1.Plánovanie, manažment a kontr'!$J$31</f>
        <v>0</v>
      </c>
    </row>
    <row r="16" spans="1:23" ht="15.75" x14ac:dyDescent="0.25">
      <c r="A16" s="77"/>
      <c r="B16" s="169" t="s">
        <v>156</v>
      </c>
      <c r="C16" s="170" t="s">
        <v>157</v>
      </c>
      <c r="D16" s="171">
        <f t="shared" ref="D16:W16" si="2">SUM(D17:D19)</f>
        <v>61358</v>
      </c>
      <c r="E16" s="172">
        <f t="shared" si="2"/>
        <v>16667</v>
      </c>
      <c r="F16" s="172">
        <f t="shared" si="2"/>
        <v>44691</v>
      </c>
      <c r="G16" s="173">
        <f t="shared" si="2"/>
        <v>0</v>
      </c>
      <c r="H16" s="171">
        <f t="shared" si="2"/>
        <v>32896</v>
      </c>
      <c r="I16" s="172">
        <f t="shared" si="2"/>
        <v>19587</v>
      </c>
      <c r="J16" s="172">
        <f t="shared" si="2"/>
        <v>13309</v>
      </c>
      <c r="K16" s="174">
        <f t="shared" si="2"/>
        <v>0</v>
      </c>
      <c r="L16" s="175" t="e">
        <f t="shared" si="2"/>
        <v>#REF!</v>
      </c>
      <c r="M16" s="172" t="e">
        <f t="shared" si="2"/>
        <v>#REF!</v>
      </c>
      <c r="N16" s="172" t="e">
        <f t="shared" si="2"/>
        <v>#REF!</v>
      </c>
      <c r="O16" s="174" t="e">
        <f t="shared" si="2"/>
        <v>#REF!</v>
      </c>
      <c r="P16" s="214">
        <v>9763.3700000000008</v>
      </c>
      <c r="Q16" s="215">
        <v>8106.84</v>
      </c>
      <c r="R16" s="215">
        <v>1656.53</v>
      </c>
      <c r="S16" s="216">
        <v>0</v>
      </c>
      <c r="T16" s="175">
        <f t="shared" si="2"/>
        <v>45168</v>
      </c>
      <c r="U16" s="172">
        <f t="shared" si="2"/>
        <v>22600</v>
      </c>
      <c r="V16" s="172">
        <f t="shared" si="2"/>
        <v>22568</v>
      </c>
      <c r="W16" s="174">
        <f t="shared" si="2"/>
        <v>0</v>
      </c>
    </row>
    <row r="17" spans="1:23" ht="15.75" x14ac:dyDescent="0.25">
      <c r="A17" s="77"/>
      <c r="B17" s="70">
        <v>1</v>
      </c>
      <c r="C17" s="71" t="s">
        <v>158</v>
      </c>
      <c r="D17" s="72">
        <f t="shared" ref="D17:D23" si="3">SUM(E17:G17)</f>
        <v>13463</v>
      </c>
      <c r="E17" s="73">
        <v>13463</v>
      </c>
      <c r="F17" s="73"/>
      <c r="G17" s="74"/>
      <c r="H17" s="72">
        <f t="shared" ref="H17:H23" si="4">SUM(I17:K17)</f>
        <v>2001</v>
      </c>
      <c r="I17" s="73">
        <v>2001</v>
      </c>
      <c r="J17" s="73"/>
      <c r="K17" s="75"/>
      <c r="L17" s="76" t="e">
        <f t="shared" ref="L17:L23" si="5">SUM(M17:O17)</f>
        <v>#REF!</v>
      </c>
      <c r="M17" s="73" t="e">
        <f>'[2]1.Plánovanie, manažment a kontr'!#REF!</f>
        <v>#REF!</v>
      </c>
      <c r="N17" s="73" t="e">
        <f>'[2]1.Plánovanie, manažment a kontr'!#REF!</f>
        <v>#REF!</v>
      </c>
      <c r="O17" s="75" t="e">
        <f>'[2]1.Plánovanie, manažment a kontr'!#REF!</f>
        <v>#REF!</v>
      </c>
      <c r="P17" s="214">
        <v>228.58</v>
      </c>
      <c r="Q17" s="217">
        <v>228.58</v>
      </c>
      <c r="R17" s="217">
        <v>0</v>
      </c>
      <c r="S17" s="218">
        <v>0</v>
      </c>
      <c r="T17" s="76">
        <f t="shared" ref="T17:T23" si="6">SUM(U17:W17)</f>
        <v>2046</v>
      </c>
      <c r="U17" s="73">
        <f>'[2]1.Plánovanie, manažment a kontr'!$H$35</f>
        <v>2046</v>
      </c>
      <c r="V17" s="73">
        <f>'[2]1.Plánovanie, manažment a kontr'!$I$35</f>
        <v>0</v>
      </c>
      <c r="W17" s="75">
        <f>'[2]1.Plánovanie, manažment a kontr'!$J$35</f>
        <v>0</v>
      </c>
    </row>
    <row r="18" spans="1:23" ht="15.75" x14ac:dyDescent="0.25">
      <c r="A18" s="77"/>
      <c r="B18" s="70">
        <v>2</v>
      </c>
      <c r="C18" s="71" t="s">
        <v>159</v>
      </c>
      <c r="D18" s="72">
        <f t="shared" si="3"/>
        <v>0</v>
      </c>
      <c r="E18" s="73">
        <v>0</v>
      </c>
      <c r="F18" s="73"/>
      <c r="G18" s="74"/>
      <c r="H18" s="72">
        <f t="shared" si="4"/>
        <v>12120</v>
      </c>
      <c r="I18" s="73">
        <v>12120</v>
      </c>
      <c r="J18" s="73"/>
      <c r="K18" s="75"/>
      <c r="L18" s="76" t="e">
        <f t="shared" si="5"/>
        <v>#REF!</v>
      </c>
      <c r="M18" s="73" t="e">
        <f>'[2]1.Plánovanie, manažment a kontr'!#REF!</f>
        <v>#REF!</v>
      </c>
      <c r="N18" s="73" t="e">
        <f>'[2]1.Plánovanie, manažment a kontr'!#REF!</f>
        <v>#REF!</v>
      </c>
      <c r="O18" s="75" t="e">
        <f>'[2]1.Plánovanie, manažment a kontr'!#REF!</f>
        <v>#REF!</v>
      </c>
      <c r="P18" s="214">
        <v>0</v>
      </c>
      <c r="Q18" s="217">
        <v>0</v>
      </c>
      <c r="R18" s="217">
        <v>0</v>
      </c>
      <c r="S18" s="218">
        <v>0</v>
      </c>
      <c r="T18" s="76">
        <f t="shared" si="6"/>
        <v>10904</v>
      </c>
      <c r="U18" s="73">
        <f>'[2]1.Plánovanie, manažment a kontr'!$H$47</f>
        <v>10904</v>
      </c>
      <c r="V18" s="73">
        <f>'[2]1.Plánovanie, manažment a kontr'!$I$47</f>
        <v>0</v>
      </c>
      <c r="W18" s="75">
        <f>'[2]1.Plánovanie, manažment a kontr'!$J$47</f>
        <v>0</v>
      </c>
    </row>
    <row r="19" spans="1:23" ht="15.75" x14ac:dyDescent="0.25">
      <c r="A19" s="77"/>
      <c r="B19" s="70">
        <v>3</v>
      </c>
      <c r="C19" s="71" t="s">
        <v>160</v>
      </c>
      <c r="D19" s="72">
        <f t="shared" si="3"/>
        <v>47895</v>
      </c>
      <c r="E19" s="73">
        <v>3204</v>
      </c>
      <c r="F19" s="73">
        <v>44691</v>
      </c>
      <c r="G19" s="74"/>
      <c r="H19" s="72">
        <f t="shared" si="4"/>
        <v>18775</v>
      </c>
      <c r="I19" s="73">
        <v>5466</v>
      </c>
      <c r="J19" s="73">
        <v>13309</v>
      </c>
      <c r="K19" s="75"/>
      <c r="L19" s="76" t="e">
        <f t="shared" si="5"/>
        <v>#REF!</v>
      </c>
      <c r="M19" s="73" t="e">
        <f>'[2]1.Plánovanie, manažment a kontr'!#REF!</f>
        <v>#REF!</v>
      </c>
      <c r="N19" s="73" t="e">
        <f>'[2]1.Plánovanie, manažment a kontr'!#REF!</f>
        <v>#REF!</v>
      </c>
      <c r="O19" s="75" t="e">
        <f>'[2]1.Plánovanie, manažment a kontr'!#REF!</f>
        <v>#REF!</v>
      </c>
      <c r="P19" s="214">
        <v>9534.7900000000009</v>
      </c>
      <c r="Q19" s="217">
        <v>7878.26</v>
      </c>
      <c r="R19" s="217">
        <v>1656.53</v>
      </c>
      <c r="S19" s="218">
        <v>0</v>
      </c>
      <c r="T19" s="76">
        <f t="shared" si="6"/>
        <v>32218</v>
      </c>
      <c r="U19" s="73">
        <f>'[2]1.Plánovanie, manažment a kontr'!$H$50</f>
        <v>9650</v>
      </c>
      <c r="V19" s="73">
        <f>'[2]1.Plánovanie, manažment a kontr'!$I$50</f>
        <v>22568</v>
      </c>
      <c r="W19" s="75">
        <f>'[2]1.Plánovanie, manažment a kontr'!$J$50</f>
        <v>0</v>
      </c>
    </row>
    <row r="20" spans="1:23" ht="15.75" x14ac:dyDescent="0.25">
      <c r="A20" s="53"/>
      <c r="B20" s="169" t="s">
        <v>161</v>
      </c>
      <c r="C20" s="170" t="s">
        <v>162</v>
      </c>
      <c r="D20" s="171">
        <f t="shared" si="3"/>
        <v>59900</v>
      </c>
      <c r="E20" s="172">
        <v>59900</v>
      </c>
      <c r="F20" s="172"/>
      <c r="G20" s="173"/>
      <c r="H20" s="171">
        <f t="shared" si="4"/>
        <v>57447</v>
      </c>
      <c r="I20" s="172">
        <v>57447</v>
      </c>
      <c r="J20" s="172"/>
      <c r="K20" s="174"/>
      <c r="L20" s="175" t="e">
        <f t="shared" si="5"/>
        <v>#REF!</v>
      </c>
      <c r="M20" s="172" t="e">
        <f>'[2]1.Plánovanie, manažment a kontr'!#REF!</f>
        <v>#REF!</v>
      </c>
      <c r="N20" s="172" t="e">
        <f>'[2]1.Plánovanie, manažment a kontr'!#REF!</f>
        <v>#REF!</v>
      </c>
      <c r="O20" s="174" t="e">
        <f>'[2]1.Plánovanie, manažment a kontr'!#REF!</f>
        <v>#REF!</v>
      </c>
      <c r="P20" s="214">
        <v>51038.51</v>
      </c>
      <c r="Q20" s="215">
        <v>51038.51</v>
      </c>
      <c r="R20" s="215">
        <v>0</v>
      </c>
      <c r="S20" s="216">
        <v>0</v>
      </c>
      <c r="T20" s="175">
        <f t="shared" si="6"/>
        <v>44354</v>
      </c>
      <c r="U20" s="172">
        <f>'[2]1.Plánovanie, manažment a kontr'!$H$62</f>
        <v>44354</v>
      </c>
      <c r="V20" s="172">
        <f>'[2]1.Plánovanie, manažment a kontr'!$I$62</f>
        <v>0</v>
      </c>
      <c r="W20" s="174">
        <f>'[2]1.Plánovanie, manažment a kontr'!$J$62</f>
        <v>0</v>
      </c>
    </row>
    <row r="21" spans="1:23" ht="15.75" x14ac:dyDescent="0.25">
      <c r="A21" s="61"/>
      <c r="B21" s="169" t="s">
        <v>163</v>
      </c>
      <c r="C21" s="170" t="s">
        <v>164</v>
      </c>
      <c r="D21" s="171">
        <f t="shared" si="3"/>
        <v>1990</v>
      </c>
      <c r="E21" s="172">
        <v>1990</v>
      </c>
      <c r="F21" s="172"/>
      <c r="G21" s="173"/>
      <c r="H21" s="171">
        <f t="shared" si="4"/>
        <v>1990</v>
      </c>
      <c r="I21" s="172">
        <v>1990</v>
      </c>
      <c r="J21" s="172"/>
      <c r="K21" s="174"/>
      <c r="L21" s="175" t="e">
        <f t="shared" si="5"/>
        <v>#REF!</v>
      </c>
      <c r="M21" s="172" t="e">
        <f>'[2]1.Plánovanie, manažment a kontr'!#REF!</f>
        <v>#REF!</v>
      </c>
      <c r="N21" s="172" t="e">
        <f>'[2]1.Plánovanie, manažment a kontr'!#REF!</f>
        <v>#REF!</v>
      </c>
      <c r="O21" s="174" t="e">
        <f>'[2]1.Plánovanie, manažment a kontr'!#REF!</f>
        <v>#REF!</v>
      </c>
      <c r="P21" s="214">
        <v>2300</v>
      </c>
      <c r="Q21" s="215">
        <v>2300</v>
      </c>
      <c r="R21" s="215">
        <v>0</v>
      </c>
      <c r="S21" s="216">
        <v>0</v>
      </c>
      <c r="T21" s="175">
        <f t="shared" si="6"/>
        <v>3600</v>
      </c>
      <c r="U21" s="172">
        <f>'[2]1.Plánovanie, manažment a kontr'!$H$72</f>
        <v>3600</v>
      </c>
      <c r="V21" s="172">
        <f>'[2]1.Plánovanie, manažment a kontr'!$I$72</f>
        <v>0</v>
      </c>
      <c r="W21" s="174">
        <f>'[2]1.Plánovanie, manažment a kontr'!$J$72</f>
        <v>0</v>
      </c>
    </row>
    <row r="22" spans="1:23" ht="15.75" x14ac:dyDescent="0.25">
      <c r="A22" s="61"/>
      <c r="B22" s="169" t="s">
        <v>165</v>
      </c>
      <c r="C22" s="170" t="s">
        <v>166</v>
      </c>
      <c r="D22" s="171">
        <f t="shared" si="3"/>
        <v>5812</v>
      </c>
      <c r="E22" s="172">
        <v>5812</v>
      </c>
      <c r="F22" s="172"/>
      <c r="G22" s="173"/>
      <c r="H22" s="171">
        <f t="shared" si="4"/>
        <v>6006</v>
      </c>
      <c r="I22" s="172">
        <v>6006</v>
      </c>
      <c r="J22" s="172"/>
      <c r="K22" s="174"/>
      <c r="L22" s="175" t="e">
        <f t="shared" si="5"/>
        <v>#REF!</v>
      </c>
      <c r="M22" s="172" t="e">
        <f>'[2]1.Plánovanie, manažment a kontr'!#REF!</f>
        <v>#REF!</v>
      </c>
      <c r="N22" s="172" t="e">
        <f>'[2]1.Plánovanie, manažment a kontr'!#REF!</f>
        <v>#REF!</v>
      </c>
      <c r="O22" s="174" t="e">
        <f>'[2]1.Plánovanie, manažment a kontr'!#REF!</f>
        <v>#REF!</v>
      </c>
      <c r="P22" s="214">
        <v>11821.55</v>
      </c>
      <c r="Q22" s="215">
        <v>11821.55</v>
      </c>
      <c r="R22" s="215">
        <v>0</v>
      </c>
      <c r="S22" s="216">
        <v>0</v>
      </c>
      <c r="T22" s="175">
        <f t="shared" si="6"/>
        <v>8366</v>
      </c>
      <c r="U22" s="172">
        <f>'[2]1.Plánovanie, manažment a kontr'!$H$75</f>
        <v>8366</v>
      </c>
      <c r="V22" s="172">
        <f>'[2]1.Plánovanie, manažment a kontr'!$I$75</f>
        <v>0</v>
      </c>
      <c r="W22" s="174">
        <f>'[2]1.Plánovanie, manažment a kontr'!$J$75</f>
        <v>0</v>
      </c>
    </row>
    <row r="23" spans="1:23" ht="16.5" thickBot="1" x14ac:dyDescent="0.3">
      <c r="A23" s="61"/>
      <c r="B23" s="176" t="s">
        <v>167</v>
      </c>
      <c r="C23" s="177" t="s">
        <v>168</v>
      </c>
      <c r="D23" s="178">
        <f t="shared" si="3"/>
        <v>5673</v>
      </c>
      <c r="E23" s="179">
        <v>3412</v>
      </c>
      <c r="F23" s="179">
        <v>2261</v>
      </c>
      <c r="G23" s="180"/>
      <c r="H23" s="171">
        <f t="shared" si="4"/>
        <v>0</v>
      </c>
      <c r="I23" s="181">
        <v>0</v>
      </c>
      <c r="J23" s="181"/>
      <c r="K23" s="182"/>
      <c r="L23" s="183" t="e">
        <f t="shared" si="5"/>
        <v>#REF!</v>
      </c>
      <c r="M23" s="181" t="e">
        <f>'[2]1.Plánovanie, manažment a kontr'!#REF!</f>
        <v>#REF!</v>
      </c>
      <c r="N23" s="181" t="e">
        <f>'[2]1.Plánovanie, manažment a kontr'!#REF!</f>
        <v>#REF!</v>
      </c>
      <c r="O23" s="182" t="e">
        <f>'[2]1.Plánovanie, manažment a kontr'!#REF!</f>
        <v>#REF!</v>
      </c>
      <c r="P23" s="219">
        <v>0</v>
      </c>
      <c r="Q23" s="220">
        <v>0</v>
      </c>
      <c r="R23" s="220">
        <v>0</v>
      </c>
      <c r="S23" s="221">
        <v>0</v>
      </c>
      <c r="T23" s="183">
        <f t="shared" si="6"/>
        <v>0</v>
      </c>
      <c r="U23" s="181">
        <f>'[2]1.Plánovanie, manažment a kontr'!$H$79</f>
        <v>0</v>
      </c>
      <c r="V23" s="181">
        <f>'[2]1.Plánovanie, manažment a kontr'!$I$79</f>
        <v>0</v>
      </c>
      <c r="W23" s="182">
        <f>'[2]1.Plánovanie, manažment a kontr'!$J$79</f>
        <v>0</v>
      </c>
    </row>
    <row r="24" spans="1:23" s="63" customFormat="1" ht="14.25" x14ac:dyDescent="0.2">
      <c r="A24" s="77"/>
      <c r="B24" s="154" t="s">
        <v>169</v>
      </c>
      <c r="C24" s="155"/>
      <c r="D24" s="149" t="e">
        <f t="shared" ref="D24:W24" si="7">D25+D34+D37</f>
        <v>#REF!</v>
      </c>
      <c r="E24" s="150">
        <f t="shared" si="7"/>
        <v>34198</v>
      </c>
      <c r="F24" s="150" t="e">
        <f t="shared" si="7"/>
        <v>#REF!</v>
      </c>
      <c r="G24" s="151" t="e">
        <f t="shared" si="7"/>
        <v>#REF!</v>
      </c>
      <c r="H24" s="149" t="e">
        <f>H25+H34+H37-1</f>
        <v>#REF!</v>
      </c>
      <c r="I24" s="150">
        <f>I25+I34+I37-1</f>
        <v>23616</v>
      </c>
      <c r="J24" s="150" t="e">
        <f t="shared" si="7"/>
        <v>#REF!</v>
      </c>
      <c r="K24" s="152" t="e">
        <f t="shared" si="7"/>
        <v>#REF!</v>
      </c>
      <c r="L24" s="153" t="e">
        <f t="shared" si="7"/>
        <v>#REF!</v>
      </c>
      <c r="M24" s="150" t="e">
        <f t="shared" si="7"/>
        <v>#REF!</v>
      </c>
      <c r="N24" s="150" t="e">
        <f t="shared" si="7"/>
        <v>#REF!</v>
      </c>
      <c r="O24" s="152" t="e">
        <f t="shared" si="7"/>
        <v>#REF!</v>
      </c>
      <c r="P24" s="222">
        <v>32781.14</v>
      </c>
      <c r="Q24" s="223">
        <v>32781.14</v>
      </c>
      <c r="R24" s="212">
        <v>0</v>
      </c>
      <c r="S24" s="213">
        <v>0</v>
      </c>
      <c r="T24" s="153" t="e">
        <f t="shared" si="7"/>
        <v>#REF!</v>
      </c>
      <c r="U24" s="150">
        <f t="shared" si="7"/>
        <v>14525</v>
      </c>
      <c r="V24" s="150" t="e">
        <f t="shared" si="7"/>
        <v>#REF!</v>
      </c>
      <c r="W24" s="152" t="e">
        <f t="shared" si="7"/>
        <v>#REF!</v>
      </c>
    </row>
    <row r="25" spans="1:23" ht="15.75" x14ac:dyDescent="0.25">
      <c r="A25" s="61"/>
      <c r="B25" s="169" t="s">
        <v>170</v>
      </c>
      <c r="C25" s="184" t="s">
        <v>171</v>
      </c>
      <c r="D25" s="171" t="e">
        <f t="shared" ref="D25:W25" si="8">SUM(D26:D33)</f>
        <v>#REF!</v>
      </c>
      <c r="E25" s="172">
        <f t="shared" si="8"/>
        <v>23986</v>
      </c>
      <c r="F25" s="172" t="e">
        <f t="shared" si="8"/>
        <v>#REF!</v>
      </c>
      <c r="G25" s="173" t="e">
        <f t="shared" si="8"/>
        <v>#REF!</v>
      </c>
      <c r="H25" s="171" t="e">
        <f t="shared" si="8"/>
        <v>#REF!</v>
      </c>
      <c r="I25" s="172">
        <f t="shared" si="8"/>
        <v>7699</v>
      </c>
      <c r="J25" s="172" t="e">
        <f t="shared" si="8"/>
        <v>#REF!</v>
      </c>
      <c r="K25" s="174" t="e">
        <f t="shared" si="8"/>
        <v>#REF!</v>
      </c>
      <c r="L25" s="175" t="e">
        <f t="shared" si="8"/>
        <v>#REF!</v>
      </c>
      <c r="M25" s="172" t="e">
        <f t="shared" si="8"/>
        <v>#REF!</v>
      </c>
      <c r="N25" s="172" t="e">
        <f t="shared" si="8"/>
        <v>#REF!</v>
      </c>
      <c r="O25" s="174" t="e">
        <f t="shared" si="8"/>
        <v>#REF!</v>
      </c>
      <c r="P25" s="214">
        <v>17531.349999999999</v>
      </c>
      <c r="Q25" s="215">
        <v>17531.349999999999</v>
      </c>
      <c r="R25" s="215">
        <v>0</v>
      </c>
      <c r="S25" s="216">
        <v>0</v>
      </c>
      <c r="T25" s="175">
        <f t="shared" si="8"/>
        <v>9375</v>
      </c>
      <c r="U25" s="172">
        <f t="shared" si="8"/>
        <v>9375</v>
      </c>
      <c r="V25" s="172">
        <f t="shared" si="8"/>
        <v>0</v>
      </c>
      <c r="W25" s="174">
        <f t="shared" si="8"/>
        <v>0</v>
      </c>
    </row>
    <row r="26" spans="1:23" ht="15.75" x14ac:dyDescent="0.25">
      <c r="A26" s="85"/>
      <c r="B26" s="70">
        <v>1</v>
      </c>
      <c r="C26" s="84" t="s">
        <v>172</v>
      </c>
      <c r="D26" s="72" t="e">
        <f t="shared" ref="D26:D33" si="9">SUM(E26:G26)</f>
        <v>#REF!</v>
      </c>
      <c r="E26" s="73">
        <v>47</v>
      </c>
      <c r="F26" s="73" t="e">
        <f>'[2]2. Propagácia a marketing'!#REF!</f>
        <v>#REF!</v>
      </c>
      <c r="G26" s="74" t="e">
        <f>'[2]2. Propagácia a marketing'!#REF!</f>
        <v>#REF!</v>
      </c>
      <c r="H26" s="72" t="e">
        <f t="shared" ref="H26:H33" si="10">SUM(I26:K26)</f>
        <v>#REF!</v>
      </c>
      <c r="I26" s="73">
        <v>110</v>
      </c>
      <c r="J26" s="73" t="e">
        <f>'[2]2. Propagácia a marketing'!#REF!</f>
        <v>#REF!</v>
      </c>
      <c r="K26" s="75" t="e">
        <f>'[2]2. Propagácia a marketing'!#REF!</f>
        <v>#REF!</v>
      </c>
      <c r="L26" s="76" t="e">
        <f t="shared" ref="L26:L33" si="11">SUM(M26:O26)</f>
        <v>#REF!</v>
      </c>
      <c r="M26" s="73" t="e">
        <f>'[2]2. Propagácia a marketing'!#REF!</f>
        <v>#REF!</v>
      </c>
      <c r="N26" s="73" t="e">
        <f>'[2]2. Propagácia a marketing'!#REF!</f>
        <v>#REF!</v>
      </c>
      <c r="O26" s="75" t="e">
        <f>'[2]2. Propagácia a marketing'!#REF!</f>
        <v>#REF!</v>
      </c>
      <c r="P26" s="214">
        <v>128.30000000000001</v>
      </c>
      <c r="Q26" s="217">
        <v>128.30000000000001</v>
      </c>
      <c r="R26" s="217">
        <v>0</v>
      </c>
      <c r="S26" s="218">
        <v>0</v>
      </c>
      <c r="T26" s="76">
        <f t="shared" ref="T26:T33" si="12">SUM(U26:W26)</f>
        <v>130</v>
      </c>
      <c r="U26" s="73">
        <f>'[2]2. Propagácia a marketing'!$H$5</f>
        <v>130</v>
      </c>
      <c r="V26" s="73">
        <f>'[2]2. Propagácia a marketing'!$I$5</f>
        <v>0</v>
      </c>
      <c r="W26" s="75">
        <f>'[2]2. Propagácia a marketing'!$J$5</f>
        <v>0</v>
      </c>
    </row>
    <row r="27" spans="1:23" ht="15.75" x14ac:dyDescent="0.25">
      <c r="A27" s="61"/>
      <c r="B27" s="70">
        <v>2</v>
      </c>
      <c r="C27" s="86" t="s">
        <v>173</v>
      </c>
      <c r="D27" s="72" t="e">
        <f t="shared" si="9"/>
        <v>#REF!</v>
      </c>
      <c r="E27" s="73">
        <v>503</v>
      </c>
      <c r="F27" s="73" t="e">
        <f>'[2]2. Propagácia a marketing'!#REF!</f>
        <v>#REF!</v>
      </c>
      <c r="G27" s="74" t="e">
        <f>'[2]2. Propagácia a marketing'!#REF!</f>
        <v>#REF!</v>
      </c>
      <c r="H27" s="72" t="e">
        <f t="shared" si="10"/>
        <v>#REF!</v>
      </c>
      <c r="I27" s="73">
        <v>239</v>
      </c>
      <c r="J27" s="73" t="e">
        <f>'[2]2. Propagácia a marketing'!#REF!</f>
        <v>#REF!</v>
      </c>
      <c r="K27" s="75" t="e">
        <f>'[2]2. Propagácia a marketing'!#REF!</f>
        <v>#REF!</v>
      </c>
      <c r="L27" s="76" t="e">
        <f t="shared" si="11"/>
        <v>#REF!</v>
      </c>
      <c r="M27" s="73" t="e">
        <f>'[2]2. Propagácia a marketing'!#REF!</f>
        <v>#REF!</v>
      </c>
      <c r="N27" s="73" t="e">
        <f>'[2]2. Propagácia a marketing'!#REF!</f>
        <v>#REF!</v>
      </c>
      <c r="O27" s="75" t="e">
        <f>'[2]2. Propagácia a marketing'!#REF!</f>
        <v>#REF!</v>
      </c>
      <c r="P27" s="214">
        <v>168.38</v>
      </c>
      <c r="Q27" s="217">
        <v>168.38</v>
      </c>
      <c r="R27" s="217">
        <v>0</v>
      </c>
      <c r="S27" s="218">
        <v>0</v>
      </c>
      <c r="T27" s="76">
        <f t="shared" si="12"/>
        <v>1000</v>
      </c>
      <c r="U27" s="73">
        <f>'[2]2. Propagácia a marketing'!$H$7</f>
        <v>1000</v>
      </c>
      <c r="V27" s="73">
        <f>'[2]2. Propagácia a marketing'!$I$7</f>
        <v>0</v>
      </c>
      <c r="W27" s="75">
        <f>'[2]2. Propagácia a marketing'!$J$7</f>
        <v>0</v>
      </c>
    </row>
    <row r="28" spans="1:23" ht="15.75" x14ac:dyDescent="0.25">
      <c r="A28" s="61"/>
      <c r="B28" s="70">
        <v>3</v>
      </c>
      <c r="C28" s="84" t="s">
        <v>174</v>
      </c>
      <c r="D28" s="72" t="e">
        <f t="shared" si="9"/>
        <v>#REF!</v>
      </c>
      <c r="E28" s="73">
        <v>1371</v>
      </c>
      <c r="F28" s="73" t="e">
        <f>'[2]2. Propagácia a marketing'!#REF!</f>
        <v>#REF!</v>
      </c>
      <c r="G28" s="74" t="e">
        <f>'[2]2. Propagácia a marketing'!#REF!</f>
        <v>#REF!</v>
      </c>
      <c r="H28" s="72" t="e">
        <f t="shared" si="10"/>
        <v>#REF!</v>
      </c>
      <c r="I28" s="73">
        <v>1669</v>
      </c>
      <c r="J28" s="73" t="e">
        <f>'[2]2. Propagácia a marketing'!#REF!</f>
        <v>#REF!</v>
      </c>
      <c r="K28" s="75" t="e">
        <f>'[2]2. Propagácia a marketing'!#REF!</f>
        <v>#REF!</v>
      </c>
      <c r="L28" s="76" t="e">
        <f t="shared" si="11"/>
        <v>#REF!</v>
      </c>
      <c r="M28" s="73" t="e">
        <f>'[2]2. Propagácia a marketing'!#REF!</f>
        <v>#REF!</v>
      </c>
      <c r="N28" s="73" t="e">
        <f>'[2]2. Propagácia a marketing'!#REF!</f>
        <v>#REF!</v>
      </c>
      <c r="O28" s="75" t="e">
        <f>'[2]2. Propagácia a marketing'!#REF!</f>
        <v>#REF!</v>
      </c>
      <c r="P28" s="214">
        <v>14531.72</v>
      </c>
      <c r="Q28" s="217">
        <v>14531.72</v>
      </c>
      <c r="R28" s="217">
        <v>0</v>
      </c>
      <c r="S28" s="218">
        <v>0</v>
      </c>
      <c r="T28" s="76">
        <f t="shared" si="12"/>
        <v>5765</v>
      </c>
      <c r="U28" s="73">
        <f>'[2]2. Propagácia a marketing'!$H$11</f>
        <v>5765</v>
      </c>
      <c r="V28" s="73">
        <f>'[2]2. Propagácia a marketing'!$I$11</f>
        <v>0</v>
      </c>
      <c r="W28" s="75">
        <f>'[2]2. Propagácia a marketing'!$J$11</f>
        <v>0</v>
      </c>
    </row>
    <row r="29" spans="1:23" ht="15.75" x14ac:dyDescent="0.25">
      <c r="A29" s="61"/>
      <c r="B29" s="70">
        <v>4</v>
      </c>
      <c r="C29" s="84" t="s">
        <v>175</v>
      </c>
      <c r="D29" s="72" t="e">
        <f t="shared" si="9"/>
        <v>#REF!</v>
      </c>
      <c r="E29" s="73">
        <v>8785</v>
      </c>
      <c r="F29" s="73" t="e">
        <f>'[2]2. Propagácia a marketing'!#REF!</f>
        <v>#REF!</v>
      </c>
      <c r="G29" s="74" t="e">
        <f>'[2]2. Propagácia a marketing'!#REF!</f>
        <v>#REF!</v>
      </c>
      <c r="H29" s="72" t="e">
        <f t="shared" si="10"/>
        <v>#REF!</v>
      </c>
      <c r="I29" s="73">
        <v>2024</v>
      </c>
      <c r="J29" s="73" t="e">
        <f>'[2]2. Propagácia a marketing'!#REF!</f>
        <v>#REF!</v>
      </c>
      <c r="K29" s="75" t="e">
        <f>'[2]2. Propagácia a marketing'!#REF!</f>
        <v>#REF!</v>
      </c>
      <c r="L29" s="76" t="e">
        <f t="shared" si="11"/>
        <v>#REF!</v>
      </c>
      <c r="M29" s="73" t="e">
        <f>'[2]2. Propagácia a marketing'!#REF!</f>
        <v>#REF!</v>
      </c>
      <c r="N29" s="73" t="e">
        <f>'[2]2. Propagácia a marketing'!#REF!</f>
        <v>#REF!</v>
      </c>
      <c r="O29" s="75" t="e">
        <f>'[2]2. Propagácia a marketing'!#REF!</f>
        <v>#REF!</v>
      </c>
      <c r="P29" s="214">
        <v>0</v>
      </c>
      <c r="Q29" s="217">
        <v>0</v>
      </c>
      <c r="R29" s="217">
        <v>0</v>
      </c>
      <c r="S29" s="218">
        <v>0</v>
      </c>
      <c r="T29" s="76">
        <f t="shared" si="12"/>
        <v>1000</v>
      </c>
      <c r="U29" s="73">
        <f>'[2]2. Propagácia a marketing'!$H$19</f>
        <v>1000</v>
      </c>
      <c r="V29" s="73">
        <f>'[2]2. Propagácia a marketing'!$I$19</f>
        <v>0</v>
      </c>
      <c r="W29" s="75">
        <f>'[2]2. Propagácia a marketing'!$J$19</f>
        <v>0</v>
      </c>
    </row>
    <row r="30" spans="1:23" ht="15.75" x14ac:dyDescent="0.25">
      <c r="A30" s="61"/>
      <c r="B30" s="70">
        <v>5</v>
      </c>
      <c r="C30" s="84" t="s">
        <v>176</v>
      </c>
      <c r="D30" s="72" t="e">
        <f t="shared" si="9"/>
        <v>#REF!</v>
      </c>
      <c r="E30" s="73">
        <v>1511</v>
      </c>
      <c r="F30" s="73" t="e">
        <f>'[2]2. Propagácia a marketing'!#REF!</f>
        <v>#REF!</v>
      </c>
      <c r="G30" s="74" t="e">
        <f>'[2]2. Propagácia a marketing'!#REF!</f>
        <v>#REF!</v>
      </c>
      <c r="H30" s="72" t="e">
        <f t="shared" si="10"/>
        <v>#REF!</v>
      </c>
      <c r="I30" s="73">
        <v>764</v>
      </c>
      <c r="J30" s="73" t="e">
        <f>'[2]2. Propagácia a marketing'!#REF!</f>
        <v>#REF!</v>
      </c>
      <c r="K30" s="75" t="e">
        <f>'[2]2. Propagácia a marketing'!#REF!</f>
        <v>#REF!</v>
      </c>
      <c r="L30" s="76" t="e">
        <f t="shared" si="11"/>
        <v>#REF!</v>
      </c>
      <c r="M30" s="73" t="e">
        <f>'[2]2. Propagácia a marketing'!#REF!</f>
        <v>#REF!</v>
      </c>
      <c r="N30" s="73" t="e">
        <f>'[2]2. Propagácia a marketing'!#REF!</f>
        <v>#REF!</v>
      </c>
      <c r="O30" s="75" t="e">
        <f>'[2]2. Propagácia a marketing'!#REF!</f>
        <v>#REF!</v>
      </c>
      <c r="P30" s="214">
        <v>1265</v>
      </c>
      <c r="Q30" s="217">
        <v>1265</v>
      </c>
      <c r="R30" s="217">
        <v>0</v>
      </c>
      <c r="S30" s="218">
        <v>0</v>
      </c>
      <c r="T30" s="76">
        <f t="shared" si="12"/>
        <v>0</v>
      </c>
      <c r="U30" s="73">
        <f>'[2]2. Propagácia a marketing'!$H$21</f>
        <v>0</v>
      </c>
      <c r="V30" s="73">
        <f>'[2]2. Propagácia a marketing'!$I$21</f>
        <v>0</v>
      </c>
      <c r="W30" s="75">
        <f>'[2]2. Propagácia a marketing'!$J$21</f>
        <v>0</v>
      </c>
    </row>
    <row r="31" spans="1:23" ht="15.75" x14ac:dyDescent="0.25">
      <c r="A31" s="61"/>
      <c r="B31" s="70">
        <v>6</v>
      </c>
      <c r="C31" s="84" t="s">
        <v>177</v>
      </c>
      <c r="D31" s="72" t="e">
        <f t="shared" si="9"/>
        <v>#REF!</v>
      </c>
      <c r="E31" s="73">
        <v>3470</v>
      </c>
      <c r="F31" s="73" t="e">
        <f>'[2]2. Propagácia a marketing'!#REF!</f>
        <v>#REF!</v>
      </c>
      <c r="G31" s="74" t="e">
        <f>'[2]2. Propagácia a marketing'!#REF!</f>
        <v>#REF!</v>
      </c>
      <c r="H31" s="72" t="e">
        <f t="shared" si="10"/>
        <v>#REF!</v>
      </c>
      <c r="I31" s="73">
        <v>1363</v>
      </c>
      <c r="J31" s="73" t="e">
        <f>'[2]2. Propagácia a marketing'!#REF!</f>
        <v>#REF!</v>
      </c>
      <c r="K31" s="75" t="e">
        <f>'[2]2. Propagácia a marketing'!#REF!</f>
        <v>#REF!</v>
      </c>
      <c r="L31" s="76" t="e">
        <f t="shared" si="11"/>
        <v>#REF!</v>
      </c>
      <c r="M31" s="73" t="e">
        <f>'[2]2. Propagácia a marketing'!#REF!</f>
        <v>#REF!</v>
      </c>
      <c r="N31" s="73" t="e">
        <f>'[2]2. Propagácia a marketing'!#REF!</f>
        <v>#REF!</v>
      </c>
      <c r="O31" s="75" t="e">
        <f>'[2]2. Propagácia a marketing'!#REF!</f>
        <v>#REF!</v>
      </c>
      <c r="P31" s="214">
        <v>60.95</v>
      </c>
      <c r="Q31" s="217">
        <v>60.95</v>
      </c>
      <c r="R31" s="217">
        <v>0</v>
      </c>
      <c r="S31" s="218">
        <v>0</v>
      </c>
      <c r="T31" s="76">
        <f t="shared" si="12"/>
        <v>0</v>
      </c>
      <c r="U31" s="73">
        <f>'[2]2. Propagácia a marketing'!$H$24</f>
        <v>0</v>
      </c>
      <c r="V31" s="73">
        <f>'[2]2. Propagácia a marketing'!$I$24</f>
        <v>0</v>
      </c>
      <c r="W31" s="75">
        <f>'[2]2. Propagácia a marketing'!$J$24</f>
        <v>0</v>
      </c>
    </row>
    <row r="32" spans="1:23" ht="15.75" x14ac:dyDescent="0.25">
      <c r="A32" s="61"/>
      <c r="B32" s="70">
        <v>7</v>
      </c>
      <c r="C32" s="84" t="s">
        <v>178</v>
      </c>
      <c r="D32" s="72" t="e">
        <f t="shared" si="9"/>
        <v>#REF!</v>
      </c>
      <c r="E32" s="73">
        <v>0</v>
      </c>
      <c r="F32" s="73" t="e">
        <f>'[2]2. Propagácia a marketing'!#REF!</f>
        <v>#REF!</v>
      </c>
      <c r="G32" s="74" t="e">
        <f>'[2]2. Propagácia a marketing'!#REF!</f>
        <v>#REF!</v>
      </c>
      <c r="H32" s="72" t="e">
        <f t="shared" si="10"/>
        <v>#REF!</v>
      </c>
      <c r="I32" s="73">
        <v>1530</v>
      </c>
      <c r="J32" s="73" t="e">
        <f>'[2]2. Propagácia a marketing'!#REF!</f>
        <v>#REF!</v>
      </c>
      <c r="K32" s="75" t="e">
        <f>'[2]2. Propagácia a marketing'!#REF!</f>
        <v>#REF!</v>
      </c>
      <c r="L32" s="76" t="e">
        <f t="shared" si="11"/>
        <v>#REF!</v>
      </c>
      <c r="M32" s="73" t="e">
        <f>'[2]2. Propagácia a marketing'!#REF!</f>
        <v>#REF!</v>
      </c>
      <c r="N32" s="73" t="e">
        <f>'[2]2. Propagácia a marketing'!#REF!</f>
        <v>#REF!</v>
      </c>
      <c r="O32" s="75" t="e">
        <f>'[2]2. Propagácia a marketing'!#REF!</f>
        <v>#REF!</v>
      </c>
      <c r="P32" s="214">
        <v>1377</v>
      </c>
      <c r="Q32" s="217">
        <v>1377</v>
      </c>
      <c r="R32" s="217">
        <v>0</v>
      </c>
      <c r="S32" s="218">
        <v>0</v>
      </c>
      <c r="T32" s="76">
        <f t="shared" si="12"/>
        <v>1480</v>
      </c>
      <c r="U32" s="73">
        <f>'[2]2. Propagácia a marketing'!$H$26</f>
        <v>1480</v>
      </c>
      <c r="V32" s="73">
        <f>'[2]2. Propagácia a marketing'!$I$26</f>
        <v>0</v>
      </c>
      <c r="W32" s="75">
        <f>'[2]2. Propagácia a marketing'!$J$26</f>
        <v>0</v>
      </c>
    </row>
    <row r="33" spans="1:23" ht="15.75" x14ac:dyDescent="0.25">
      <c r="A33" s="61"/>
      <c r="B33" s="70">
        <v>8</v>
      </c>
      <c r="C33" s="84" t="s">
        <v>179</v>
      </c>
      <c r="D33" s="72" t="e">
        <f t="shared" si="9"/>
        <v>#REF!</v>
      </c>
      <c r="E33" s="73">
        <v>8299</v>
      </c>
      <c r="F33" s="73" t="e">
        <f>'[2]2. Propagácia a marketing'!#REF!</f>
        <v>#REF!</v>
      </c>
      <c r="G33" s="74" t="e">
        <f>'[2]2. Propagácia a marketing'!#REF!</f>
        <v>#REF!</v>
      </c>
      <c r="H33" s="72" t="e">
        <f t="shared" si="10"/>
        <v>#REF!</v>
      </c>
      <c r="I33" s="73">
        <v>0</v>
      </c>
      <c r="J33" s="73" t="e">
        <f>'[2]2. Propagácia a marketing'!#REF!</f>
        <v>#REF!</v>
      </c>
      <c r="K33" s="75" t="e">
        <f>'[2]2. Propagácia a marketing'!#REF!</f>
        <v>#REF!</v>
      </c>
      <c r="L33" s="76" t="e">
        <f t="shared" si="11"/>
        <v>#REF!</v>
      </c>
      <c r="M33" s="73" t="e">
        <f>'[2]2. Propagácia a marketing'!#REF!</f>
        <v>#REF!</v>
      </c>
      <c r="N33" s="73" t="e">
        <f>'[2]2. Propagácia a marketing'!#REF!</f>
        <v>#REF!</v>
      </c>
      <c r="O33" s="75" t="e">
        <f>'[2]2. Propagácia a marketing'!#REF!</f>
        <v>#REF!</v>
      </c>
      <c r="P33" s="214">
        <v>0</v>
      </c>
      <c r="Q33" s="217">
        <v>0</v>
      </c>
      <c r="R33" s="217">
        <v>0</v>
      </c>
      <c r="S33" s="218">
        <v>0</v>
      </c>
      <c r="T33" s="76">
        <f t="shared" si="12"/>
        <v>0</v>
      </c>
      <c r="U33" s="73">
        <f>'[2]2. Propagácia a marketing'!$H$28</f>
        <v>0</v>
      </c>
      <c r="V33" s="73">
        <f>'[2]2. Propagácia a marketing'!$I$28</f>
        <v>0</v>
      </c>
      <c r="W33" s="75">
        <f>'[2]2. Propagácia a marketing'!$J$28</f>
        <v>0</v>
      </c>
    </row>
    <row r="34" spans="1:23" ht="15.75" x14ac:dyDescent="0.25">
      <c r="B34" s="169" t="s">
        <v>180</v>
      </c>
      <c r="C34" s="184" t="s">
        <v>181</v>
      </c>
      <c r="D34" s="171" t="e">
        <f t="shared" ref="D34:W34" si="13">SUM(D35:D36)</f>
        <v>#REF!</v>
      </c>
      <c r="E34" s="172">
        <f t="shared" si="13"/>
        <v>3755</v>
      </c>
      <c r="F34" s="172" t="e">
        <f t="shared" si="13"/>
        <v>#REF!</v>
      </c>
      <c r="G34" s="173" t="e">
        <f t="shared" si="13"/>
        <v>#REF!</v>
      </c>
      <c r="H34" s="171" t="e">
        <f t="shared" si="13"/>
        <v>#REF!</v>
      </c>
      <c r="I34" s="172">
        <f t="shared" si="13"/>
        <v>11564</v>
      </c>
      <c r="J34" s="172" t="e">
        <f t="shared" si="13"/>
        <v>#REF!</v>
      </c>
      <c r="K34" s="174" t="e">
        <f t="shared" si="13"/>
        <v>#REF!</v>
      </c>
      <c r="L34" s="175" t="e">
        <f t="shared" si="13"/>
        <v>#REF!</v>
      </c>
      <c r="M34" s="172" t="e">
        <f t="shared" si="13"/>
        <v>#REF!</v>
      </c>
      <c r="N34" s="172" t="e">
        <f t="shared" si="13"/>
        <v>#REF!</v>
      </c>
      <c r="O34" s="174" t="e">
        <f t="shared" si="13"/>
        <v>#REF!</v>
      </c>
      <c r="P34" s="214">
        <v>14469.77</v>
      </c>
      <c r="Q34" s="215">
        <v>14469.77</v>
      </c>
      <c r="R34" s="215">
        <v>0</v>
      </c>
      <c r="S34" s="216">
        <v>0</v>
      </c>
      <c r="T34" s="175" t="e">
        <f t="shared" si="13"/>
        <v>#REF!</v>
      </c>
      <c r="U34" s="172">
        <f t="shared" si="13"/>
        <v>4150</v>
      </c>
      <c r="V34" s="172" t="e">
        <f t="shared" si="13"/>
        <v>#REF!</v>
      </c>
      <c r="W34" s="174" t="e">
        <f t="shared" si="13"/>
        <v>#REF!</v>
      </c>
    </row>
    <row r="35" spans="1:23" ht="15.75" x14ac:dyDescent="0.25">
      <c r="B35" s="70">
        <v>1</v>
      </c>
      <c r="C35" s="84" t="s">
        <v>182</v>
      </c>
      <c r="D35" s="72" t="e">
        <f>SUM(E35:G35)</f>
        <v>#REF!</v>
      </c>
      <c r="E35" s="73">
        <v>2306</v>
      </c>
      <c r="F35" s="73" t="e">
        <f>'[2]2. Propagácia a marketing'!#REF!</f>
        <v>#REF!</v>
      </c>
      <c r="G35" s="74" t="e">
        <f>'[2]2. Propagácia a marketing'!#REF!</f>
        <v>#REF!</v>
      </c>
      <c r="H35" s="72" t="e">
        <f>SUM(I35:K35)</f>
        <v>#REF!</v>
      </c>
      <c r="I35" s="73">
        <v>9757</v>
      </c>
      <c r="J35" s="73" t="e">
        <f>'[2]2. Propagácia a marketing'!#REF!</f>
        <v>#REF!</v>
      </c>
      <c r="K35" s="75" t="e">
        <f>'[2]2. Propagácia a marketing'!#REF!</f>
        <v>#REF!</v>
      </c>
      <c r="L35" s="76" t="e">
        <f>SUM(M35:O35)</f>
        <v>#REF!</v>
      </c>
      <c r="M35" s="73" t="e">
        <f>'[2]2. Propagácia a marketing'!#REF!</f>
        <v>#REF!</v>
      </c>
      <c r="N35" s="73" t="e">
        <f>'[2]2. Propagácia a marketing'!#REF!</f>
        <v>#REF!</v>
      </c>
      <c r="O35" s="75" t="e">
        <f>'[2]2. Propagácia a marketing'!#REF!</f>
        <v>#REF!</v>
      </c>
      <c r="P35" s="214">
        <v>13379.77</v>
      </c>
      <c r="Q35" s="217">
        <v>13379.77</v>
      </c>
      <c r="R35" s="217">
        <v>0</v>
      </c>
      <c r="S35" s="218">
        <v>0</v>
      </c>
      <c r="T35" s="76">
        <f>SUM(U35:W35)</f>
        <v>3580</v>
      </c>
      <c r="U35" s="73">
        <f>'[2]2. Propagácia a marketing'!$H$32</f>
        <v>3580</v>
      </c>
      <c r="V35" s="73">
        <f>'[2]2. Propagácia a marketing'!$I$32</f>
        <v>0</v>
      </c>
      <c r="W35" s="75">
        <f>'[2]2. Propagácia a marketing'!$J$32</f>
        <v>0</v>
      </c>
    </row>
    <row r="36" spans="1:23" ht="15.75" x14ac:dyDescent="0.25">
      <c r="B36" s="70">
        <v>2</v>
      </c>
      <c r="C36" s="84" t="s">
        <v>183</v>
      </c>
      <c r="D36" s="72" t="e">
        <f>SUM(E36:G36)</f>
        <v>#REF!</v>
      </c>
      <c r="E36" s="73">
        <v>1449</v>
      </c>
      <c r="F36" s="73" t="e">
        <f>'[2]2. Propagácia a marketing'!#REF!</f>
        <v>#REF!</v>
      </c>
      <c r="G36" s="74" t="e">
        <f>'[2]2. Propagácia a marketing'!#REF!</f>
        <v>#REF!</v>
      </c>
      <c r="H36" s="72" t="e">
        <f>SUM(I36:K36)</f>
        <v>#REF!</v>
      </c>
      <c r="I36" s="73">
        <v>1807</v>
      </c>
      <c r="J36" s="73" t="e">
        <f>'[2]2. Propagácia a marketing'!#REF!</f>
        <v>#REF!</v>
      </c>
      <c r="K36" s="75" t="e">
        <f>'[2]2. Propagácia a marketing'!#REF!</f>
        <v>#REF!</v>
      </c>
      <c r="L36" s="76" t="e">
        <f>SUM(M36:O36)</f>
        <v>#REF!</v>
      </c>
      <c r="M36" s="73" t="e">
        <f>'[2]2. Propagácia a marketing'!#REF!</f>
        <v>#REF!</v>
      </c>
      <c r="N36" s="73" t="e">
        <f>'[2]2. Propagácia a marketing'!#REF!</f>
        <v>#REF!</v>
      </c>
      <c r="O36" s="75" t="e">
        <f>'[2]2. Propagácia a marketing'!#REF!</f>
        <v>#REF!</v>
      </c>
      <c r="P36" s="214">
        <v>1090</v>
      </c>
      <c r="Q36" s="217">
        <v>1090</v>
      </c>
      <c r="R36" s="217">
        <v>0</v>
      </c>
      <c r="S36" s="218">
        <v>0</v>
      </c>
      <c r="T36" s="76" t="e">
        <f>SUM(U36:W36)</f>
        <v>#REF!</v>
      </c>
      <c r="U36" s="73">
        <f>'[2]2. Propagácia a marketing'!$H$54</f>
        <v>570</v>
      </c>
      <c r="V36" s="73" t="e">
        <f>'[2]2. Propagácia a marketing'!$I$54</f>
        <v>#REF!</v>
      </c>
      <c r="W36" s="75" t="e">
        <f>'[2]2. Propagácia a marketing'!$J$54</f>
        <v>#REF!</v>
      </c>
    </row>
    <row r="37" spans="1:23" ht="16.5" thickBot="1" x14ac:dyDescent="0.3">
      <c r="A37" s="85"/>
      <c r="B37" s="176" t="s">
        <v>184</v>
      </c>
      <c r="C37" s="185" t="s">
        <v>185</v>
      </c>
      <c r="D37" s="178" t="e">
        <f>SUM(E37:G37)</f>
        <v>#REF!</v>
      </c>
      <c r="E37" s="179">
        <v>6457</v>
      </c>
      <c r="F37" s="179" t="e">
        <f>'[2]2. Propagácia a marketing'!#REF!</f>
        <v>#REF!</v>
      </c>
      <c r="G37" s="180" t="e">
        <f>'[2]2. Propagácia a marketing'!#REF!</f>
        <v>#REF!</v>
      </c>
      <c r="H37" s="186" t="e">
        <f>SUM(I37:K37)</f>
        <v>#REF!</v>
      </c>
      <c r="I37" s="181">
        <v>4354</v>
      </c>
      <c r="J37" s="181" t="e">
        <f>'[2]2. Propagácia a marketing'!#REF!</f>
        <v>#REF!</v>
      </c>
      <c r="K37" s="182" t="e">
        <f>'[2]2. Propagácia a marketing'!#REF!</f>
        <v>#REF!</v>
      </c>
      <c r="L37" s="187" t="e">
        <f>SUM(M37:O37)</f>
        <v>#REF!</v>
      </c>
      <c r="M37" s="179" t="e">
        <f>'[2]2. Propagácia a marketing'!#REF!</f>
        <v>#REF!</v>
      </c>
      <c r="N37" s="179" t="e">
        <f>'[2]2. Propagácia a marketing'!#REF!</f>
        <v>#REF!</v>
      </c>
      <c r="O37" s="188" t="e">
        <f>'[2]2. Propagácia a marketing'!#REF!</f>
        <v>#REF!</v>
      </c>
      <c r="P37" s="224">
        <v>780.02</v>
      </c>
      <c r="Q37" s="225">
        <v>780.02</v>
      </c>
      <c r="R37" s="225">
        <v>0</v>
      </c>
      <c r="S37" s="226">
        <v>0</v>
      </c>
      <c r="T37" s="187" t="e">
        <f>SUM(U37:W37)</f>
        <v>#REF!</v>
      </c>
      <c r="U37" s="179">
        <f>'[2]2. Propagácia a marketing'!$H$60</f>
        <v>1000</v>
      </c>
      <c r="V37" s="179" t="e">
        <f>'[2]2. Propagácia a marketing'!$I$60</f>
        <v>#REF!</v>
      </c>
      <c r="W37" s="188" t="e">
        <f>'[2]2. Propagácia a marketing'!$J$60</f>
        <v>#REF!</v>
      </c>
    </row>
    <row r="38" spans="1:23" s="63" customFormat="1" ht="14.25" x14ac:dyDescent="0.2">
      <c r="A38" s="91"/>
      <c r="B38" s="154" t="s">
        <v>186</v>
      </c>
      <c r="C38" s="155"/>
      <c r="D38" s="149" t="e">
        <f t="shared" ref="D38:W38" si="14">D39+D40+D41+D46+D47</f>
        <v>#REF!</v>
      </c>
      <c r="E38" s="150">
        <f t="shared" si="14"/>
        <v>271426</v>
      </c>
      <c r="F38" s="150" t="e">
        <f t="shared" si="14"/>
        <v>#REF!</v>
      </c>
      <c r="G38" s="151" t="e">
        <f t="shared" si="14"/>
        <v>#REF!</v>
      </c>
      <c r="H38" s="149" t="e">
        <f t="shared" si="14"/>
        <v>#REF!</v>
      </c>
      <c r="I38" s="150">
        <f t="shared" si="14"/>
        <v>197118</v>
      </c>
      <c r="J38" s="150" t="e">
        <f t="shared" si="14"/>
        <v>#REF!</v>
      </c>
      <c r="K38" s="152" t="e">
        <f t="shared" si="14"/>
        <v>#REF!</v>
      </c>
      <c r="L38" s="153" t="e">
        <f t="shared" si="14"/>
        <v>#REF!</v>
      </c>
      <c r="M38" s="150" t="e">
        <f t="shared" si="14"/>
        <v>#REF!</v>
      </c>
      <c r="N38" s="150" t="e">
        <f t="shared" si="14"/>
        <v>#REF!</v>
      </c>
      <c r="O38" s="152" t="e">
        <f t="shared" si="14"/>
        <v>#REF!</v>
      </c>
      <c r="P38" s="222">
        <v>238983.5</v>
      </c>
      <c r="Q38" s="223">
        <v>213988.5</v>
      </c>
      <c r="R38" s="223">
        <v>24995</v>
      </c>
      <c r="S38" s="227">
        <v>0</v>
      </c>
      <c r="T38" s="153" t="e">
        <f t="shared" si="14"/>
        <v>#REF!</v>
      </c>
      <c r="U38" s="150">
        <f t="shared" si="14"/>
        <v>75414</v>
      </c>
      <c r="V38" s="150" t="e">
        <f t="shared" si="14"/>
        <v>#REF!</v>
      </c>
      <c r="W38" s="152" t="e">
        <f t="shared" si="14"/>
        <v>#REF!</v>
      </c>
    </row>
    <row r="39" spans="1:23" ht="16.5" x14ac:dyDescent="0.3">
      <c r="A39" s="61"/>
      <c r="B39" s="169" t="s">
        <v>187</v>
      </c>
      <c r="C39" s="189" t="s">
        <v>188</v>
      </c>
      <c r="D39" s="171" t="e">
        <f>SUM(E39:G39)</f>
        <v>#REF!</v>
      </c>
      <c r="E39" s="172">
        <v>36902</v>
      </c>
      <c r="F39" s="172">
        <v>4033</v>
      </c>
      <c r="G39" s="173" t="e">
        <f>'[2]3.Interné služby'!#REF!</f>
        <v>#REF!</v>
      </c>
      <c r="H39" s="171" t="e">
        <f>SUM(I39:K39)</f>
        <v>#REF!</v>
      </c>
      <c r="I39" s="172">
        <v>22326</v>
      </c>
      <c r="J39" s="172">
        <v>5865</v>
      </c>
      <c r="K39" s="174" t="e">
        <f>'[2]3.Interné služby'!#REF!</f>
        <v>#REF!</v>
      </c>
      <c r="L39" s="175" t="e">
        <f>SUM(M39:O39)</f>
        <v>#REF!</v>
      </c>
      <c r="M39" s="172" t="e">
        <f>'[2]3.Interné služby'!#REF!</f>
        <v>#REF!</v>
      </c>
      <c r="N39" s="172" t="e">
        <f>'[2]3.Interné služby'!#REF!</f>
        <v>#REF!</v>
      </c>
      <c r="O39" s="174" t="e">
        <f>'[2]3.Interné služby'!#REF!</f>
        <v>#REF!</v>
      </c>
      <c r="P39" s="214">
        <v>27814.74</v>
      </c>
      <c r="Q39" s="215">
        <v>22025.74</v>
      </c>
      <c r="R39" s="215">
        <v>5789</v>
      </c>
      <c r="S39" s="216">
        <v>0</v>
      </c>
      <c r="T39" s="175">
        <f>SUM(U39:W39)</f>
        <v>80864</v>
      </c>
      <c r="U39" s="172">
        <f>'[2]3.Interné služby'!$H$4</f>
        <v>46864</v>
      </c>
      <c r="V39" s="172">
        <f>'[2]3.Interné služby'!$I$4</f>
        <v>34000</v>
      </c>
      <c r="W39" s="174">
        <f>'[2]3.Interné služby'!$J$4</f>
        <v>0</v>
      </c>
    </row>
    <row r="40" spans="1:23" ht="16.5" x14ac:dyDescent="0.3">
      <c r="A40" s="85"/>
      <c r="B40" s="169" t="s">
        <v>189</v>
      </c>
      <c r="C40" s="189" t="s">
        <v>190</v>
      </c>
      <c r="D40" s="171" t="e">
        <f>SUM(E40:G40)</f>
        <v>#REF!</v>
      </c>
      <c r="E40" s="172">
        <v>35806</v>
      </c>
      <c r="F40" s="172" t="e">
        <f>'[2]3.Interné služby'!#REF!</f>
        <v>#REF!</v>
      </c>
      <c r="G40" s="173" t="e">
        <f>'[2]3.Interné služby'!#REF!</f>
        <v>#REF!</v>
      </c>
      <c r="H40" s="171" t="e">
        <f>SUM(I40:K40)</f>
        <v>#REF!</v>
      </c>
      <c r="I40" s="172">
        <v>9784</v>
      </c>
      <c r="J40" s="172"/>
      <c r="K40" s="174" t="e">
        <f>'[2]3.Interné služby'!#REF!</f>
        <v>#REF!</v>
      </c>
      <c r="L40" s="175" t="e">
        <f>SUM(M40:O40)</f>
        <v>#REF!</v>
      </c>
      <c r="M40" s="172">
        <v>30256</v>
      </c>
      <c r="N40" s="172" t="e">
        <f>'[2]3.Interné služby'!#REF!</f>
        <v>#REF!</v>
      </c>
      <c r="O40" s="174" t="e">
        <f>'[2]3.Interné služby'!#REF!</f>
        <v>#REF!</v>
      </c>
      <c r="P40" s="214">
        <v>27507.78</v>
      </c>
      <c r="Q40" s="215">
        <v>27507.78</v>
      </c>
      <c r="R40" s="215">
        <v>0</v>
      </c>
      <c r="S40" s="216">
        <v>0</v>
      </c>
      <c r="T40" s="175">
        <f>SUM(U40:W40)</f>
        <v>10900</v>
      </c>
      <c r="U40" s="172">
        <f>'[2]3.Interné služby'!$H$31</f>
        <v>10900</v>
      </c>
      <c r="V40" s="172">
        <f>'[2]3.Interné služby'!$I$31</f>
        <v>0</v>
      </c>
      <c r="W40" s="174">
        <f>'[2]3.Interné služby'!$J$31</f>
        <v>0</v>
      </c>
    </row>
    <row r="41" spans="1:23" ht="16.5" x14ac:dyDescent="0.3">
      <c r="B41" s="169" t="s">
        <v>191</v>
      </c>
      <c r="C41" s="189" t="s">
        <v>192</v>
      </c>
      <c r="D41" s="171" t="e">
        <f t="shared" ref="D41:W41" si="15">SUM(D42:D45)</f>
        <v>#REF!</v>
      </c>
      <c r="E41" s="172">
        <f t="shared" si="15"/>
        <v>193704</v>
      </c>
      <c r="F41" s="172" t="e">
        <f t="shared" si="15"/>
        <v>#REF!</v>
      </c>
      <c r="G41" s="173" t="e">
        <f t="shared" si="15"/>
        <v>#REF!</v>
      </c>
      <c r="H41" s="171" t="e">
        <f t="shared" si="15"/>
        <v>#REF!</v>
      </c>
      <c r="I41" s="172">
        <f t="shared" si="15"/>
        <v>160978</v>
      </c>
      <c r="J41" s="172">
        <f t="shared" si="15"/>
        <v>46477</v>
      </c>
      <c r="K41" s="174" t="e">
        <f t="shared" si="15"/>
        <v>#REF!</v>
      </c>
      <c r="L41" s="175" t="e">
        <f t="shared" si="15"/>
        <v>#REF!</v>
      </c>
      <c r="M41" s="172" t="e">
        <f t="shared" si="15"/>
        <v>#REF!</v>
      </c>
      <c r="N41" s="172" t="e">
        <f t="shared" si="15"/>
        <v>#REF!</v>
      </c>
      <c r="O41" s="174" t="e">
        <f t="shared" si="15"/>
        <v>#REF!</v>
      </c>
      <c r="P41" s="214">
        <v>178249.2</v>
      </c>
      <c r="Q41" s="215">
        <v>159043.20000000001</v>
      </c>
      <c r="R41" s="215">
        <v>19206</v>
      </c>
      <c r="S41" s="216">
        <v>0</v>
      </c>
      <c r="T41" s="175" t="e">
        <f t="shared" si="15"/>
        <v>#REF!</v>
      </c>
      <c r="U41" s="172">
        <f t="shared" si="15"/>
        <v>12750</v>
      </c>
      <c r="V41" s="172" t="e">
        <f t="shared" si="15"/>
        <v>#REF!</v>
      </c>
      <c r="W41" s="174" t="e">
        <f t="shared" si="15"/>
        <v>#REF!</v>
      </c>
    </row>
    <row r="42" spans="1:23" ht="16.5" x14ac:dyDescent="0.3">
      <c r="B42" s="70">
        <v>1</v>
      </c>
      <c r="C42" s="92" t="s">
        <v>193</v>
      </c>
      <c r="D42" s="72" t="e">
        <f t="shared" ref="D42:D47" si="16">SUM(E42:G42)</f>
        <v>#REF!</v>
      </c>
      <c r="E42" s="73">
        <v>1492</v>
      </c>
      <c r="F42" s="73" t="e">
        <f>'[2]3.Interné služby'!#REF!</f>
        <v>#REF!</v>
      </c>
      <c r="G42" s="74" t="e">
        <f>'[2]3.Interné služby'!#REF!</f>
        <v>#REF!</v>
      </c>
      <c r="H42" s="72" t="e">
        <f t="shared" ref="H42:H47" si="17">SUM(I42:K42)</f>
        <v>#REF!</v>
      </c>
      <c r="I42" s="73">
        <v>3200</v>
      </c>
      <c r="J42" s="73">
        <v>0</v>
      </c>
      <c r="K42" s="75" t="e">
        <f>'[2]3.Interné služby'!#REF!</f>
        <v>#REF!</v>
      </c>
      <c r="L42" s="76" t="e">
        <f t="shared" ref="L42:L47" si="18">SUM(M42:O42)</f>
        <v>#REF!</v>
      </c>
      <c r="M42" s="73" t="e">
        <f>'[2]3.Interné služby'!#REF!</f>
        <v>#REF!</v>
      </c>
      <c r="N42" s="73" t="e">
        <f>'[2]3.Interné služby'!#REF!</f>
        <v>#REF!</v>
      </c>
      <c r="O42" s="75" t="e">
        <f>'[2]3.Interné služby'!#REF!</f>
        <v>#REF!</v>
      </c>
      <c r="P42" s="214">
        <v>1873.69</v>
      </c>
      <c r="Q42" s="217">
        <v>1873.69</v>
      </c>
      <c r="R42" s="217">
        <v>0</v>
      </c>
      <c r="S42" s="218">
        <v>0</v>
      </c>
      <c r="T42" s="76">
        <f t="shared" ref="T42:T47" si="19">SUM(U42:W42)</f>
        <v>3250</v>
      </c>
      <c r="U42" s="73">
        <f>'[2]3.Interné služby'!$H$37</f>
        <v>3250</v>
      </c>
      <c r="V42" s="73">
        <f>'[2]3.Interné služby'!$I$37</f>
        <v>0</v>
      </c>
      <c r="W42" s="75">
        <f>'[2]3.Interné služby'!$J$37</f>
        <v>0</v>
      </c>
    </row>
    <row r="43" spans="1:23" ht="15.75" x14ac:dyDescent="0.25">
      <c r="B43" s="70">
        <v>2</v>
      </c>
      <c r="C43" s="84" t="s">
        <v>194</v>
      </c>
      <c r="D43" s="72" t="e">
        <f t="shared" si="16"/>
        <v>#REF!</v>
      </c>
      <c r="E43" s="73">
        <v>802</v>
      </c>
      <c r="F43" s="73" t="e">
        <f>'[2]3.Interné služby'!#REF!</f>
        <v>#REF!</v>
      </c>
      <c r="G43" s="74" t="e">
        <f>'[2]3.Interné služby'!#REF!</f>
        <v>#REF!</v>
      </c>
      <c r="H43" s="72" t="e">
        <f t="shared" si="17"/>
        <v>#REF!</v>
      </c>
      <c r="I43" s="73">
        <v>569</v>
      </c>
      <c r="J43" s="73">
        <v>0</v>
      </c>
      <c r="K43" s="75" t="e">
        <f>'[2]3.Interné služby'!#REF!</f>
        <v>#REF!</v>
      </c>
      <c r="L43" s="76" t="e">
        <f t="shared" si="18"/>
        <v>#REF!</v>
      </c>
      <c r="M43" s="73">
        <v>800</v>
      </c>
      <c r="N43" s="73" t="e">
        <f>'[2]3.Interné služby'!#REF!</f>
        <v>#REF!</v>
      </c>
      <c r="O43" s="75" t="e">
        <f>'[2]3.Interné služby'!#REF!</f>
        <v>#REF!</v>
      </c>
      <c r="P43" s="214">
        <v>108.36</v>
      </c>
      <c r="Q43" s="217">
        <v>108.36</v>
      </c>
      <c r="R43" s="217">
        <v>0</v>
      </c>
      <c r="S43" s="218">
        <v>0</v>
      </c>
      <c r="T43" s="76">
        <f t="shared" si="19"/>
        <v>500</v>
      </c>
      <c r="U43" s="73">
        <f>'[2]3.Interné služby'!$H$43</f>
        <v>500</v>
      </c>
      <c r="V43" s="73">
        <f>'[2]3.Interné služby'!$I$43</f>
        <v>0</v>
      </c>
      <c r="W43" s="75">
        <f>'[2]3.Interné služby'!$J$43</f>
        <v>0</v>
      </c>
    </row>
    <row r="44" spans="1:23" ht="15.75" x14ac:dyDescent="0.25">
      <c r="B44" s="70">
        <v>3</v>
      </c>
      <c r="C44" s="84" t="s">
        <v>195</v>
      </c>
      <c r="D44" s="72" t="e">
        <f t="shared" si="16"/>
        <v>#REF!</v>
      </c>
      <c r="E44" s="73">
        <v>189803</v>
      </c>
      <c r="F44" s="73"/>
      <c r="G44" s="74" t="e">
        <f>'[2]3.Interné služby'!#REF!</f>
        <v>#REF!</v>
      </c>
      <c r="H44" s="72" t="e">
        <f t="shared" si="17"/>
        <v>#REF!</v>
      </c>
      <c r="I44" s="73">
        <v>157209</v>
      </c>
      <c r="J44" s="73">
        <v>13786</v>
      </c>
      <c r="K44" s="75" t="e">
        <f>'[2]3.Interné služby'!#REF!</f>
        <v>#REF!</v>
      </c>
      <c r="L44" s="76" t="e">
        <f t="shared" si="18"/>
        <v>#REF!</v>
      </c>
      <c r="M44" s="73" t="e">
        <f>'[2]3.Interné služby'!#REF!</f>
        <v>#REF!</v>
      </c>
      <c r="N44" s="73">
        <v>20700</v>
      </c>
      <c r="O44" s="75" t="e">
        <f>'[2]3.Interné služby'!#REF!</f>
        <v>#REF!</v>
      </c>
      <c r="P44" s="214">
        <v>155457.15</v>
      </c>
      <c r="Q44" s="217">
        <v>154761.15</v>
      </c>
      <c r="R44" s="217">
        <v>696</v>
      </c>
      <c r="S44" s="218">
        <v>0</v>
      </c>
      <c r="T44" s="76">
        <f t="shared" si="19"/>
        <v>5000</v>
      </c>
      <c r="U44" s="73">
        <f>'[3]3.Interné služby'!$Q$19</f>
        <v>5000</v>
      </c>
      <c r="V44" s="73">
        <f>'[2]3.Interné služby'!$I$47</f>
        <v>0</v>
      </c>
      <c r="W44" s="75">
        <f>'[2]3.Interné služby'!$J$47</f>
        <v>0</v>
      </c>
    </row>
    <row r="45" spans="1:23" ht="15.75" x14ac:dyDescent="0.25">
      <c r="B45" s="70">
        <v>4</v>
      </c>
      <c r="C45" s="84" t="s">
        <v>196</v>
      </c>
      <c r="D45" s="72" t="e">
        <f t="shared" si="16"/>
        <v>#REF!</v>
      </c>
      <c r="E45" s="73">
        <v>1607</v>
      </c>
      <c r="F45" s="73">
        <v>6656</v>
      </c>
      <c r="G45" s="74" t="e">
        <f>'[2]3.Interné služby'!#REF!</f>
        <v>#REF!</v>
      </c>
      <c r="H45" s="72" t="e">
        <f t="shared" si="17"/>
        <v>#REF!</v>
      </c>
      <c r="I45" s="73">
        <v>0</v>
      </c>
      <c r="J45" s="73">
        <v>32691</v>
      </c>
      <c r="K45" s="75" t="e">
        <f>'[2]3.Interné služby'!#REF!</f>
        <v>#REF!</v>
      </c>
      <c r="L45" s="76" t="e">
        <f t="shared" si="18"/>
        <v>#REF!</v>
      </c>
      <c r="M45" s="73" t="e">
        <f>'[2]3.Interné služby'!#REF!</f>
        <v>#REF!</v>
      </c>
      <c r="N45" s="73" t="e">
        <f>'[2]3.Interné služby'!#REF!</f>
        <v>#REF!</v>
      </c>
      <c r="O45" s="75" t="e">
        <f>'[2]3.Interné služby'!#REF!</f>
        <v>#REF!</v>
      </c>
      <c r="P45" s="214">
        <v>20810</v>
      </c>
      <c r="Q45" s="217">
        <v>2300</v>
      </c>
      <c r="R45" s="217">
        <v>18510</v>
      </c>
      <c r="S45" s="218">
        <v>0</v>
      </c>
      <c r="T45" s="76" t="e">
        <f t="shared" si="19"/>
        <v>#REF!</v>
      </c>
      <c r="U45" s="73">
        <f>'[2]3.Interné služby'!$H$99</f>
        <v>4000</v>
      </c>
      <c r="V45" s="73" t="e">
        <f>'[2]3.Interné služby'!$I$99</f>
        <v>#REF!</v>
      </c>
      <c r="W45" s="75" t="e">
        <f>'[2]3.Interné služby'!$J$99</f>
        <v>#REF!</v>
      </c>
    </row>
    <row r="46" spans="1:23" ht="16.5" x14ac:dyDescent="0.3">
      <c r="B46" s="169" t="s">
        <v>197</v>
      </c>
      <c r="C46" s="189" t="s">
        <v>198</v>
      </c>
      <c r="D46" s="171" t="e">
        <f t="shared" si="16"/>
        <v>#REF!</v>
      </c>
      <c r="E46" s="172">
        <v>1736</v>
      </c>
      <c r="F46" s="172" t="e">
        <f>'[2]3.Interné služby'!#REF!</f>
        <v>#REF!</v>
      </c>
      <c r="G46" s="173" t="e">
        <f>'[2]3.Interné služby'!#REF!</f>
        <v>#REF!</v>
      </c>
      <c r="H46" s="171" t="e">
        <f t="shared" si="17"/>
        <v>#REF!</v>
      </c>
      <c r="I46" s="172">
        <v>2400</v>
      </c>
      <c r="J46" s="172" t="e">
        <f>'[2]3.Interné služby'!#REF!</f>
        <v>#REF!</v>
      </c>
      <c r="K46" s="174" t="e">
        <f>'[2]3.Interné služby'!#REF!</f>
        <v>#REF!</v>
      </c>
      <c r="L46" s="175" t="e">
        <f t="shared" si="18"/>
        <v>#REF!</v>
      </c>
      <c r="M46" s="172">
        <v>3900</v>
      </c>
      <c r="N46" s="172" t="e">
        <f>'[2]3.Interné služby'!#REF!</f>
        <v>#REF!</v>
      </c>
      <c r="O46" s="174" t="e">
        <f>'[2]3.Interné služby'!#REF!</f>
        <v>#REF!</v>
      </c>
      <c r="P46" s="214">
        <v>4017.4</v>
      </c>
      <c r="Q46" s="215">
        <v>4017.4</v>
      </c>
      <c r="R46" s="215">
        <v>0</v>
      </c>
      <c r="S46" s="216">
        <v>0</v>
      </c>
      <c r="T46" s="175" t="e">
        <f t="shared" si="19"/>
        <v>#REF!</v>
      </c>
      <c r="U46" s="172">
        <f>'[2]3.Interné služby'!$H$101</f>
        <v>3700</v>
      </c>
      <c r="V46" s="172" t="e">
        <f>'[2]3.Interné služby'!$I$102</f>
        <v>#REF!</v>
      </c>
      <c r="W46" s="174" t="e">
        <f>'[2]3.Interné služby'!$J$102</f>
        <v>#REF!</v>
      </c>
    </row>
    <row r="47" spans="1:23" ht="17.25" thickBot="1" x14ac:dyDescent="0.35">
      <c r="B47" s="190" t="s">
        <v>199</v>
      </c>
      <c r="C47" s="191" t="s">
        <v>200</v>
      </c>
      <c r="D47" s="178" t="e">
        <f t="shared" si="16"/>
        <v>#REF!</v>
      </c>
      <c r="E47" s="179">
        <v>3278</v>
      </c>
      <c r="F47" s="179" t="e">
        <f>'[2]3.Interné služby'!#REF!</f>
        <v>#REF!</v>
      </c>
      <c r="G47" s="180" t="e">
        <f>'[2]3.Interné služby'!#REF!</f>
        <v>#REF!</v>
      </c>
      <c r="H47" s="186" t="e">
        <f t="shared" si="17"/>
        <v>#REF!</v>
      </c>
      <c r="I47" s="181">
        <v>1630</v>
      </c>
      <c r="J47" s="181" t="e">
        <f>'[2]3.Interné služby'!#REF!</f>
        <v>#REF!</v>
      </c>
      <c r="K47" s="182" t="e">
        <f>'[2]3.Interné služby'!#REF!</f>
        <v>#REF!</v>
      </c>
      <c r="L47" s="187" t="e">
        <f t="shared" si="18"/>
        <v>#REF!</v>
      </c>
      <c r="M47" s="179" t="e">
        <f>'[2]3.Interné služby'!#REF!</f>
        <v>#REF!</v>
      </c>
      <c r="N47" s="179" t="e">
        <f>'[2]3.Interné služby'!#REF!</f>
        <v>#REF!</v>
      </c>
      <c r="O47" s="188" t="e">
        <f>'[2]3.Interné služby'!#REF!</f>
        <v>#REF!</v>
      </c>
      <c r="P47" s="224">
        <v>1394.38</v>
      </c>
      <c r="Q47" s="225">
        <v>1394.38</v>
      </c>
      <c r="R47" s="225">
        <v>0</v>
      </c>
      <c r="S47" s="226">
        <v>0</v>
      </c>
      <c r="T47" s="187" t="e">
        <f t="shared" si="19"/>
        <v>#REF!</v>
      </c>
      <c r="U47" s="179">
        <f>'[2]3.Interné služby'!$H$108</f>
        <v>1200</v>
      </c>
      <c r="V47" s="179" t="e">
        <f>'[2]3.Interné služby'!$I$108</f>
        <v>#REF!</v>
      </c>
      <c r="W47" s="188" t="e">
        <f>'[2]3.Interné služby'!$J$108</f>
        <v>#REF!</v>
      </c>
    </row>
    <row r="48" spans="1:23" s="63" customFormat="1" ht="14.25" x14ac:dyDescent="0.2">
      <c r="B48" s="156" t="s">
        <v>201</v>
      </c>
      <c r="C48" s="157"/>
      <c r="D48" s="149" t="e">
        <f t="shared" ref="D48:J48" si="20">D49+D50+D53</f>
        <v>#REF!</v>
      </c>
      <c r="E48" s="150" t="e">
        <f t="shared" si="20"/>
        <v>#REF!</v>
      </c>
      <c r="F48" s="150" t="e">
        <f t="shared" si="20"/>
        <v>#REF!</v>
      </c>
      <c r="G48" s="151" t="e">
        <f t="shared" si="20"/>
        <v>#REF!</v>
      </c>
      <c r="H48" s="149" t="e">
        <f>H49+H50+H53-1</f>
        <v>#REF!</v>
      </c>
      <c r="I48" s="150" t="e">
        <f>I49+I50+I53-1</f>
        <v>#REF!</v>
      </c>
      <c r="J48" s="150">
        <f t="shared" si="20"/>
        <v>0</v>
      </c>
      <c r="K48" s="152" t="e">
        <f>K49+K53</f>
        <v>#REF!</v>
      </c>
      <c r="L48" s="153" t="e">
        <f t="shared" ref="L48:W48" si="21">L49+L50+L53</f>
        <v>#REF!</v>
      </c>
      <c r="M48" s="150" t="e">
        <f t="shared" si="21"/>
        <v>#REF!</v>
      </c>
      <c r="N48" s="150" t="e">
        <f t="shared" si="21"/>
        <v>#REF!</v>
      </c>
      <c r="O48" s="152" t="e">
        <f t="shared" si="21"/>
        <v>#REF!</v>
      </c>
      <c r="P48" s="222">
        <v>24336.959999999999</v>
      </c>
      <c r="Q48" s="223">
        <v>24336.959999999999</v>
      </c>
      <c r="R48" s="223">
        <v>0</v>
      </c>
      <c r="S48" s="227">
        <v>0</v>
      </c>
      <c r="T48" s="153" t="e">
        <f t="shared" si="21"/>
        <v>#REF!</v>
      </c>
      <c r="U48" s="150">
        <f t="shared" si="21"/>
        <v>32547</v>
      </c>
      <c r="V48" s="150" t="e">
        <f t="shared" si="21"/>
        <v>#REF!</v>
      </c>
      <c r="W48" s="152" t="e">
        <f t="shared" si="21"/>
        <v>#REF!</v>
      </c>
    </row>
    <row r="49" spans="1:23" ht="16.5" x14ac:dyDescent="0.3">
      <c r="B49" s="169" t="s">
        <v>202</v>
      </c>
      <c r="C49" s="189" t="s">
        <v>203</v>
      </c>
      <c r="D49" s="171" t="e">
        <f>SUM(E49:G49)</f>
        <v>#REF!</v>
      </c>
      <c r="E49" s="172">
        <v>15307.52</v>
      </c>
      <c r="F49" s="172" t="e">
        <f>'[2]4.Služby občanov'!#REF!</f>
        <v>#REF!</v>
      </c>
      <c r="G49" s="173" t="e">
        <f>'[2]4.Služby občanov'!#REF!</f>
        <v>#REF!</v>
      </c>
      <c r="H49" s="171" t="e">
        <f>SUM(I49:K49)</f>
        <v>#REF!</v>
      </c>
      <c r="I49" s="172">
        <v>26456</v>
      </c>
      <c r="J49" s="172">
        <v>0</v>
      </c>
      <c r="K49" s="174" t="e">
        <f>'[2]4.Služby občanov'!#REF!</f>
        <v>#REF!</v>
      </c>
      <c r="L49" s="175" t="e">
        <f>SUM(M49:O49)</f>
        <v>#REF!</v>
      </c>
      <c r="M49" s="172" t="e">
        <f>'[2]4.Služby občanov'!#REF!</f>
        <v>#REF!</v>
      </c>
      <c r="N49" s="172" t="e">
        <f>'[2]4.Služby občanov'!#REF!</f>
        <v>#REF!</v>
      </c>
      <c r="O49" s="174" t="e">
        <f>'[2]4.Služby občanov'!#REF!</f>
        <v>#REF!</v>
      </c>
      <c r="P49" s="214">
        <v>8958.27</v>
      </c>
      <c r="Q49" s="215">
        <v>8958.27</v>
      </c>
      <c r="R49" s="215">
        <v>0</v>
      </c>
      <c r="S49" s="216">
        <v>0</v>
      </c>
      <c r="T49" s="175">
        <f>SUM(U49:W49)</f>
        <v>15600</v>
      </c>
      <c r="U49" s="172">
        <f>'[2]4.Služby občanov'!$H$4</f>
        <v>15600</v>
      </c>
      <c r="V49" s="172">
        <f>'[2]4.Služby občanov'!$I$4</f>
        <v>0</v>
      </c>
      <c r="W49" s="174">
        <f>'[2]4.Služby občanov'!$J$4</f>
        <v>0</v>
      </c>
    </row>
    <row r="50" spans="1:23" ht="15.75" x14ac:dyDescent="0.25">
      <c r="A50" s="93"/>
      <c r="B50" s="169" t="s">
        <v>204</v>
      </c>
      <c r="C50" s="184" t="s">
        <v>205</v>
      </c>
      <c r="D50" s="171" t="e">
        <f t="shared" ref="D50:W50" si="22">SUM(D51:D52)</f>
        <v>#REF!</v>
      </c>
      <c r="E50" s="172">
        <f t="shared" si="22"/>
        <v>23245.5</v>
      </c>
      <c r="F50" s="172" t="e">
        <f t="shared" si="22"/>
        <v>#REF!</v>
      </c>
      <c r="G50" s="173" t="e">
        <f t="shared" si="22"/>
        <v>#REF!</v>
      </c>
      <c r="H50" s="171" t="e">
        <f t="shared" si="22"/>
        <v>#REF!</v>
      </c>
      <c r="I50" s="172" t="e">
        <f t="shared" si="22"/>
        <v>#REF!</v>
      </c>
      <c r="J50" s="172">
        <f t="shared" si="22"/>
        <v>0</v>
      </c>
      <c r="K50" s="174" t="e">
        <f t="shared" si="22"/>
        <v>#REF!</v>
      </c>
      <c r="L50" s="175" t="e">
        <f t="shared" si="22"/>
        <v>#REF!</v>
      </c>
      <c r="M50" s="172" t="e">
        <f t="shared" si="22"/>
        <v>#REF!</v>
      </c>
      <c r="N50" s="172" t="e">
        <f t="shared" si="22"/>
        <v>#REF!</v>
      </c>
      <c r="O50" s="174" t="e">
        <f t="shared" si="22"/>
        <v>#REF!</v>
      </c>
      <c r="P50" s="214">
        <v>15378.69</v>
      </c>
      <c r="Q50" s="215">
        <v>15378.69</v>
      </c>
      <c r="R50" s="215">
        <v>0</v>
      </c>
      <c r="S50" s="216">
        <v>0</v>
      </c>
      <c r="T50" s="175" t="e">
        <f t="shared" si="22"/>
        <v>#REF!</v>
      </c>
      <c r="U50" s="172">
        <f t="shared" si="22"/>
        <v>16937</v>
      </c>
      <c r="V50" s="172" t="e">
        <f t="shared" si="22"/>
        <v>#REF!</v>
      </c>
      <c r="W50" s="174" t="e">
        <f t="shared" si="22"/>
        <v>#REF!</v>
      </c>
    </row>
    <row r="51" spans="1:23" ht="15.75" x14ac:dyDescent="0.25">
      <c r="A51" s="93"/>
      <c r="B51" s="70">
        <v>1</v>
      </c>
      <c r="C51" s="84" t="s">
        <v>206</v>
      </c>
      <c r="D51" s="72" t="e">
        <f>SUM(E51:G51)</f>
        <v>#REF!</v>
      </c>
      <c r="E51" s="73">
        <v>23245.5</v>
      </c>
      <c r="F51" s="73" t="e">
        <f>'[2]4.Služby občanov'!#REF!</f>
        <v>#REF!</v>
      </c>
      <c r="G51" s="74" t="e">
        <f>'[2]4.Služby občanov'!#REF!</f>
        <v>#REF!</v>
      </c>
      <c r="H51" s="72" t="e">
        <f>SUM(I51:K51)</f>
        <v>#REF!</v>
      </c>
      <c r="I51" s="73">
        <v>14579</v>
      </c>
      <c r="J51" s="73">
        <v>0</v>
      </c>
      <c r="K51" s="75" t="e">
        <f>'[2]4.Služby občanov'!#REF!</f>
        <v>#REF!</v>
      </c>
      <c r="L51" s="76" t="e">
        <f>SUM(M51:O51)</f>
        <v>#REF!</v>
      </c>
      <c r="M51" s="73" t="e">
        <f>'[2]4.Služby občanov'!#REF!</f>
        <v>#REF!</v>
      </c>
      <c r="N51" s="73" t="e">
        <f>'[2]4.Služby občanov'!#REF!</f>
        <v>#REF!</v>
      </c>
      <c r="O51" s="75" t="e">
        <f>'[2]4.Služby občanov'!#REF!</f>
        <v>#REF!</v>
      </c>
      <c r="P51" s="214">
        <v>15378.69</v>
      </c>
      <c r="Q51" s="228">
        <v>15378.69</v>
      </c>
      <c r="R51" s="228">
        <v>0</v>
      </c>
      <c r="S51" s="229">
        <v>0</v>
      </c>
      <c r="T51" s="76">
        <f>SUM(U51:W51)</f>
        <v>16737</v>
      </c>
      <c r="U51" s="73">
        <f>'[2]4.Služby občanov'!$H$18</f>
        <v>16737</v>
      </c>
      <c r="V51" s="73">
        <f>'[2]4.Služby občanov'!$I$18</f>
        <v>0</v>
      </c>
      <c r="W51" s="75">
        <f>'[2]4.Služby občanov'!$J$18</f>
        <v>0</v>
      </c>
    </row>
    <row r="52" spans="1:23" ht="15.75" x14ac:dyDescent="0.25">
      <c r="A52" s="93"/>
      <c r="B52" s="70">
        <v>2</v>
      </c>
      <c r="C52" s="84" t="s">
        <v>207</v>
      </c>
      <c r="D52" s="72" t="e">
        <f>SUM(E52:G52)</f>
        <v>#REF!</v>
      </c>
      <c r="E52" s="73">
        <v>0</v>
      </c>
      <c r="F52" s="73" t="e">
        <f>'[2]4.Služby občanov'!#REF!</f>
        <v>#REF!</v>
      </c>
      <c r="G52" s="74" t="e">
        <f>'[2]4.Služby občanov'!#REF!</f>
        <v>#REF!</v>
      </c>
      <c r="H52" s="72" t="e">
        <f>SUM(I52:K52)</f>
        <v>#REF!</v>
      </c>
      <c r="I52" s="73" t="e">
        <f>'[2]4.Služby občanov'!#REF!</f>
        <v>#REF!</v>
      </c>
      <c r="J52" s="73">
        <v>0</v>
      </c>
      <c r="K52" s="75" t="e">
        <f>'[2]4.Služby občanov'!#REF!</f>
        <v>#REF!</v>
      </c>
      <c r="L52" s="76" t="e">
        <f>SUM(M52:O52)</f>
        <v>#REF!</v>
      </c>
      <c r="M52" s="73" t="e">
        <f>'[2]4.Služby občanov'!#REF!</f>
        <v>#REF!</v>
      </c>
      <c r="N52" s="73" t="e">
        <f>'[2]4.Služby občanov'!#REF!</f>
        <v>#REF!</v>
      </c>
      <c r="O52" s="75" t="e">
        <f>'[2]4.Služby občanov'!#REF!</f>
        <v>#REF!</v>
      </c>
      <c r="P52" s="214">
        <v>0</v>
      </c>
      <c r="Q52" s="228">
        <v>0</v>
      </c>
      <c r="R52" s="228">
        <v>0</v>
      </c>
      <c r="S52" s="229">
        <v>0</v>
      </c>
      <c r="T52" s="76" t="e">
        <f>SUM(U52:W52)</f>
        <v>#REF!</v>
      </c>
      <c r="U52" s="73">
        <f>'[2]4.Služby občanov'!$H$26</f>
        <v>200</v>
      </c>
      <c r="V52" s="73" t="e">
        <f>'[2]4.Služby občanov'!$I$26</f>
        <v>#REF!</v>
      </c>
      <c r="W52" s="75" t="e">
        <f>'[2]4.Služby občanov'!$J$26</f>
        <v>#REF!</v>
      </c>
    </row>
    <row r="53" spans="1:23" ht="16.5" thickBot="1" x14ac:dyDescent="0.3">
      <c r="A53" s="93"/>
      <c r="B53" s="192" t="s">
        <v>208</v>
      </c>
      <c r="C53" s="185" t="s">
        <v>209</v>
      </c>
      <c r="D53" s="178" t="e">
        <f>SUM(E53:G53)</f>
        <v>#REF!</v>
      </c>
      <c r="E53" s="179" t="e">
        <f>'[2]4.Služby občanov'!#REF!</f>
        <v>#REF!</v>
      </c>
      <c r="F53" s="179" t="e">
        <f>'[2]4.Služby občanov'!#REF!</f>
        <v>#REF!</v>
      </c>
      <c r="G53" s="180" t="e">
        <f>'[2]4.Služby občanov'!#REF!</f>
        <v>#REF!</v>
      </c>
      <c r="H53" s="186" t="e">
        <f>SUM(I53:K53)</f>
        <v>#REF!</v>
      </c>
      <c r="I53" s="181">
        <v>0</v>
      </c>
      <c r="J53" s="181">
        <v>0</v>
      </c>
      <c r="K53" s="182" t="e">
        <f>'[2]4.Služby občanov'!#REF!</f>
        <v>#REF!</v>
      </c>
      <c r="L53" s="187" t="e">
        <f>SUM(M53:O53)</f>
        <v>#REF!</v>
      </c>
      <c r="M53" s="179" t="e">
        <f>'[2]4.Služby občanov'!#REF!</f>
        <v>#REF!</v>
      </c>
      <c r="N53" s="179" t="e">
        <f>'[2]4.Služby občanov'!#REF!</f>
        <v>#REF!</v>
      </c>
      <c r="O53" s="188" t="e">
        <f>'[2]4.Služby občanov'!#REF!</f>
        <v>#REF!</v>
      </c>
      <c r="P53" s="224">
        <v>0</v>
      </c>
      <c r="Q53" s="230">
        <v>0</v>
      </c>
      <c r="R53" s="230">
        <v>0</v>
      </c>
      <c r="S53" s="231">
        <v>0</v>
      </c>
      <c r="T53" s="187" t="e">
        <f>SUM(U53:W53)</f>
        <v>#REF!</v>
      </c>
      <c r="U53" s="179">
        <f>'[2]4.Služby občanov'!$H$28</f>
        <v>10</v>
      </c>
      <c r="V53" s="179" t="e">
        <f>'[2]4.Služby občanov'!$I$28</f>
        <v>#REF!</v>
      </c>
      <c r="W53" s="188" t="e">
        <f>'[2]4.Služby občanov'!$J$28</f>
        <v>#REF!</v>
      </c>
    </row>
    <row r="54" spans="1:23" s="63" customFormat="1" ht="14.25" x14ac:dyDescent="0.2">
      <c r="A54" s="93"/>
      <c r="B54" s="154" t="s">
        <v>210</v>
      </c>
      <c r="C54" s="158"/>
      <c r="D54" s="149" t="e">
        <f t="shared" ref="D54:W54" si="23">D55+D60+D61+D62+D67</f>
        <v>#REF!</v>
      </c>
      <c r="E54" s="150" t="e">
        <f t="shared" si="23"/>
        <v>#REF!</v>
      </c>
      <c r="F54" s="150" t="e">
        <f t="shared" si="23"/>
        <v>#REF!</v>
      </c>
      <c r="G54" s="151" t="e">
        <f t="shared" si="23"/>
        <v>#REF!</v>
      </c>
      <c r="H54" s="149" t="e">
        <f t="shared" si="23"/>
        <v>#REF!</v>
      </c>
      <c r="I54" s="150" t="e">
        <f t="shared" si="23"/>
        <v>#REF!</v>
      </c>
      <c r="J54" s="150" t="e">
        <f t="shared" si="23"/>
        <v>#REF!</v>
      </c>
      <c r="K54" s="152" t="e">
        <f t="shared" si="23"/>
        <v>#REF!</v>
      </c>
      <c r="L54" s="153" t="e">
        <f t="shared" si="23"/>
        <v>#REF!</v>
      </c>
      <c r="M54" s="150" t="e">
        <f t="shared" si="23"/>
        <v>#REF!</v>
      </c>
      <c r="N54" s="150" t="e">
        <f t="shared" si="23"/>
        <v>#REF!</v>
      </c>
      <c r="O54" s="152" t="e">
        <f t="shared" si="23"/>
        <v>#REF!</v>
      </c>
      <c r="P54" s="222">
        <v>667835.55000000005</v>
      </c>
      <c r="Q54" s="223">
        <v>666135.55000000005</v>
      </c>
      <c r="R54" s="223">
        <v>1700</v>
      </c>
      <c r="S54" s="227">
        <v>0</v>
      </c>
      <c r="T54" s="153" t="e">
        <f t="shared" si="23"/>
        <v>#REF!</v>
      </c>
      <c r="U54" s="150" t="e">
        <f t="shared" si="23"/>
        <v>#REF!</v>
      </c>
      <c r="V54" s="150" t="e">
        <f t="shared" si="23"/>
        <v>#REF!</v>
      </c>
      <c r="W54" s="152" t="e">
        <f t="shared" si="23"/>
        <v>#REF!</v>
      </c>
    </row>
    <row r="55" spans="1:23" ht="15.75" x14ac:dyDescent="0.25">
      <c r="A55" s="93"/>
      <c r="B55" s="193" t="s">
        <v>211</v>
      </c>
      <c r="C55" s="184" t="s">
        <v>212</v>
      </c>
      <c r="D55" s="171" t="e">
        <f t="shared" ref="D55:W55" si="24">SUM(D56:D59)</f>
        <v>#REF!</v>
      </c>
      <c r="E55" s="172">
        <f t="shared" si="24"/>
        <v>496158.19</v>
      </c>
      <c r="F55" s="172" t="e">
        <f t="shared" si="24"/>
        <v>#REF!</v>
      </c>
      <c r="G55" s="173" t="e">
        <f t="shared" si="24"/>
        <v>#REF!</v>
      </c>
      <c r="H55" s="171" t="e">
        <f t="shared" si="24"/>
        <v>#REF!</v>
      </c>
      <c r="I55" s="172">
        <f t="shared" si="24"/>
        <v>480129.99</v>
      </c>
      <c r="J55" s="172" t="e">
        <f t="shared" si="24"/>
        <v>#REF!</v>
      </c>
      <c r="K55" s="174" t="e">
        <f t="shared" si="24"/>
        <v>#REF!</v>
      </c>
      <c r="L55" s="175" t="e">
        <f t="shared" si="24"/>
        <v>#REF!</v>
      </c>
      <c r="M55" s="172" t="e">
        <f t="shared" si="24"/>
        <v>#REF!</v>
      </c>
      <c r="N55" s="172" t="e">
        <f t="shared" si="24"/>
        <v>#REF!</v>
      </c>
      <c r="O55" s="174" t="e">
        <f t="shared" si="24"/>
        <v>#REF!</v>
      </c>
      <c r="P55" s="214">
        <v>463317.1</v>
      </c>
      <c r="Q55" s="215">
        <v>461617.1</v>
      </c>
      <c r="R55" s="215">
        <v>1700</v>
      </c>
      <c r="S55" s="216">
        <v>0</v>
      </c>
      <c r="T55" s="175" t="e">
        <f t="shared" si="24"/>
        <v>#REF!</v>
      </c>
      <c r="U55" s="172">
        <f t="shared" si="24"/>
        <v>468983</v>
      </c>
      <c r="V55" s="172">
        <f t="shared" si="24"/>
        <v>6100</v>
      </c>
      <c r="W55" s="174" t="e">
        <f t="shared" si="24"/>
        <v>#REF!</v>
      </c>
    </row>
    <row r="56" spans="1:23" ht="15.75" x14ac:dyDescent="0.25">
      <c r="A56" s="93"/>
      <c r="B56" s="70">
        <v>1</v>
      </c>
      <c r="C56" s="84" t="s">
        <v>213</v>
      </c>
      <c r="D56" s="72" t="e">
        <f t="shared" ref="D56:D61" si="25">SUM(E56:G56)</f>
        <v>#REF!</v>
      </c>
      <c r="E56" s="73">
        <v>350478.7</v>
      </c>
      <c r="F56" s="73">
        <v>9811</v>
      </c>
      <c r="G56" s="74" t="e">
        <f>'[2]5.Bezpečnosť, právo a por.'!#REF!</f>
        <v>#REF!</v>
      </c>
      <c r="H56" s="72" t="e">
        <f t="shared" ref="H56:H66" si="26">SUM(I56:K56)</f>
        <v>#REF!</v>
      </c>
      <c r="I56" s="73">
        <v>339635.49</v>
      </c>
      <c r="J56" s="73">
        <v>10809</v>
      </c>
      <c r="K56" s="75" t="e">
        <f>'[2]5.Bezpečnosť, právo a por.'!#REF!</f>
        <v>#REF!</v>
      </c>
      <c r="L56" s="76" t="e">
        <f t="shared" ref="L56:L61" si="27">SUM(M56:O56)</f>
        <v>#REF!</v>
      </c>
      <c r="M56" s="73" t="e">
        <f>'[2]5.Bezpečnosť, právo a por.'!#REF!</f>
        <v>#REF!</v>
      </c>
      <c r="N56" s="73" t="e">
        <f>'[2]5.Bezpečnosť, právo a por.'!#REF!</f>
        <v>#REF!</v>
      </c>
      <c r="O56" s="75" t="e">
        <f>'[2]5.Bezpečnosť, právo a por.'!#REF!</f>
        <v>#REF!</v>
      </c>
      <c r="P56" s="214">
        <v>326420.21000000002</v>
      </c>
      <c r="Q56" s="217">
        <v>324720.21000000002</v>
      </c>
      <c r="R56" s="217">
        <v>1700</v>
      </c>
      <c r="S56" s="218">
        <v>0</v>
      </c>
      <c r="T56" s="76">
        <f t="shared" ref="T56:T61" si="28">SUM(U56:W56)</f>
        <v>326718</v>
      </c>
      <c r="U56" s="73">
        <f>'[2]5.Bezpečnosť, právo a por.'!$H$5</f>
        <v>326718</v>
      </c>
      <c r="V56" s="73">
        <f>'[2]5.Bezpečnosť, právo a por.'!$I$5</f>
        <v>0</v>
      </c>
      <c r="W56" s="75">
        <f>'[2]5.Bezpečnosť, právo a por.'!$J$5</f>
        <v>0</v>
      </c>
    </row>
    <row r="57" spans="1:23" ht="15.75" x14ac:dyDescent="0.25">
      <c r="B57" s="70">
        <v>2</v>
      </c>
      <c r="C57" s="84" t="s">
        <v>214</v>
      </c>
      <c r="D57" s="72" t="e">
        <f t="shared" si="25"/>
        <v>#REF!</v>
      </c>
      <c r="E57" s="73">
        <v>69112.490000000005</v>
      </c>
      <c r="F57" s="73"/>
      <c r="G57" s="74" t="e">
        <f>'[2]5.Bezpečnosť, právo a por.'!#REF!</f>
        <v>#REF!</v>
      </c>
      <c r="H57" s="72" t="e">
        <f t="shared" si="26"/>
        <v>#REF!</v>
      </c>
      <c r="I57" s="73">
        <v>62503.5</v>
      </c>
      <c r="J57" s="73">
        <v>17528</v>
      </c>
      <c r="K57" s="75" t="e">
        <f>'[2]5.Bezpečnosť, právo a por.'!#REF!</f>
        <v>#REF!</v>
      </c>
      <c r="L57" s="76" t="e">
        <f t="shared" si="27"/>
        <v>#REF!</v>
      </c>
      <c r="M57" s="73" t="e">
        <f>'[2]5.Bezpečnosť, právo a por.'!#REF!</f>
        <v>#REF!</v>
      </c>
      <c r="N57" s="73" t="e">
        <f>'[2]5.Bezpečnosť, právo a por.'!#REF!</f>
        <v>#REF!</v>
      </c>
      <c r="O57" s="75" t="e">
        <f>'[2]5.Bezpečnosť, právo a por.'!#REF!</f>
        <v>#REF!</v>
      </c>
      <c r="P57" s="214">
        <v>63166.06</v>
      </c>
      <c r="Q57" s="217">
        <v>63166.06</v>
      </c>
      <c r="R57" s="217">
        <v>0</v>
      </c>
      <c r="S57" s="218">
        <v>0</v>
      </c>
      <c r="T57" s="76">
        <f t="shared" si="28"/>
        <v>70911</v>
      </c>
      <c r="U57" s="73">
        <f>'[2]5.Bezpečnosť, právo a por.'!$H$49</f>
        <v>67861</v>
      </c>
      <c r="V57" s="73">
        <f>'[2]5.Bezpečnosť, právo a por.'!$I$49</f>
        <v>3050</v>
      </c>
      <c r="W57" s="75">
        <f>'[2]5.Bezpečnosť, právo a por.'!$J$49</f>
        <v>0</v>
      </c>
    </row>
    <row r="58" spans="1:23" ht="15.75" x14ac:dyDescent="0.25">
      <c r="A58" s="85"/>
      <c r="B58" s="70">
        <v>3</v>
      </c>
      <c r="C58" s="84" t="s">
        <v>215</v>
      </c>
      <c r="D58" s="72" t="e">
        <f t="shared" si="25"/>
        <v>#REF!</v>
      </c>
      <c r="E58" s="73">
        <v>37000</v>
      </c>
      <c r="F58" s="73"/>
      <c r="G58" s="74" t="e">
        <f>'[2]5.Bezpečnosť, právo a por.'!#REF!</f>
        <v>#REF!</v>
      </c>
      <c r="H58" s="72" t="e">
        <f t="shared" si="26"/>
        <v>#REF!</v>
      </c>
      <c r="I58" s="73">
        <v>37892.5</v>
      </c>
      <c r="J58" s="73">
        <v>0</v>
      </c>
      <c r="K58" s="75" t="e">
        <f>'[2]5.Bezpečnosť, právo a por.'!#REF!</f>
        <v>#REF!</v>
      </c>
      <c r="L58" s="76" t="e">
        <f t="shared" si="27"/>
        <v>#REF!</v>
      </c>
      <c r="M58" s="73" t="e">
        <f>'[2]5.Bezpečnosť, právo a por.'!#REF!</f>
        <v>#REF!</v>
      </c>
      <c r="N58" s="73" t="e">
        <f>'[2]5.Bezpečnosť, právo a por.'!#REF!</f>
        <v>#REF!</v>
      </c>
      <c r="O58" s="75" t="e">
        <f>'[2]5.Bezpečnosť, právo a por.'!#REF!</f>
        <v>#REF!</v>
      </c>
      <c r="P58" s="214">
        <v>35909.43</v>
      </c>
      <c r="Q58" s="217">
        <v>35909.43</v>
      </c>
      <c r="R58" s="217">
        <v>0</v>
      </c>
      <c r="S58" s="218">
        <v>0</v>
      </c>
      <c r="T58" s="76" t="e">
        <f t="shared" si="28"/>
        <v>#REF!</v>
      </c>
      <c r="U58" s="73">
        <f>'[2]5.Bezpečnosť, právo a por.'!$H$66</f>
        <v>36887</v>
      </c>
      <c r="V58" s="73">
        <f>'[2]5.Bezpečnosť, právo a por.'!$I$65</f>
        <v>3050</v>
      </c>
      <c r="W58" s="75" t="e">
        <f>'[2]5.Bezpečnosť, právo a por.'!$J$65</f>
        <v>#REF!</v>
      </c>
    </row>
    <row r="59" spans="1:23" ht="15.75" x14ac:dyDescent="0.25">
      <c r="A59" s="85"/>
      <c r="B59" s="70">
        <v>4</v>
      </c>
      <c r="C59" s="84" t="s">
        <v>216</v>
      </c>
      <c r="D59" s="72" t="e">
        <f t="shared" si="25"/>
        <v>#REF!</v>
      </c>
      <c r="E59" s="73">
        <v>39567</v>
      </c>
      <c r="F59" s="73" t="e">
        <f>'[2]5.Bezpečnosť, právo a por.'!#REF!</f>
        <v>#REF!</v>
      </c>
      <c r="G59" s="74" t="e">
        <f>'[2]5.Bezpečnosť, právo a por.'!#REF!</f>
        <v>#REF!</v>
      </c>
      <c r="H59" s="72" t="e">
        <f t="shared" si="26"/>
        <v>#REF!</v>
      </c>
      <c r="I59" s="73">
        <v>40098.5</v>
      </c>
      <c r="J59" s="73" t="e">
        <f>'[2]5.Bezpečnosť, právo a por.'!#REF!</f>
        <v>#REF!</v>
      </c>
      <c r="K59" s="75" t="e">
        <f>'[2]5.Bezpečnosť, právo a por.'!#REF!</f>
        <v>#REF!</v>
      </c>
      <c r="L59" s="76" t="e">
        <f t="shared" si="27"/>
        <v>#REF!</v>
      </c>
      <c r="M59" s="73" t="e">
        <f>'[2]5.Bezpečnosť, právo a por.'!#REF!</f>
        <v>#REF!</v>
      </c>
      <c r="N59" s="73" t="e">
        <f>'[2]5.Bezpečnosť, právo a por.'!#REF!</f>
        <v>#REF!</v>
      </c>
      <c r="O59" s="75" t="e">
        <f>'[2]5.Bezpečnosť, právo a por.'!#REF!</f>
        <v>#REF!</v>
      </c>
      <c r="P59" s="214">
        <v>37821.4</v>
      </c>
      <c r="Q59" s="217">
        <v>37821.4</v>
      </c>
      <c r="R59" s="217">
        <v>0</v>
      </c>
      <c r="S59" s="218">
        <v>0</v>
      </c>
      <c r="T59" s="76" t="e">
        <f t="shared" si="28"/>
        <v>#REF!</v>
      </c>
      <c r="U59" s="73">
        <f>'[2]5.Bezpečnosť, právo a por.'!$H$69</f>
        <v>37517</v>
      </c>
      <c r="V59" s="73">
        <f>'[2]5.Bezpečnosť, právo a por.'!$I$69</f>
        <v>0</v>
      </c>
      <c r="W59" s="75" t="e">
        <f>'[2]5.Bezpečnosť, právo a por.'!$J$68</f>
        <v>#REF!</v>
      </c>
    </row>
    <row r="60" spans="1:23" ht="16.5" x14ac:dyDescent="0.3">
      <c r="B60" s="193" t="s">
        <v>217</v>
      </c>
      <c r="C60" s="189" t="s">
        <v>218</v>
      </c>
      <c r="D60" s="171" t="e">
        <f t="shared" si="25"/>
        <v>#REF!</v>
      </c>
      <c r="E60" s="172" t="e">
        <f>'[2]5.Bezpečnosť, právo a por.'!#REF!</f>
        <v>#REF!</v>
      </c>
      <c r="F60" s="172" t="e">
        <f>'[2]5.Bezpečnosť, právo a por.'!#REF!</f>
        <v>#REF!</v>
      </c>
      <c r="G60" s="173" t="e">
        <f>'[2]5.Bezpečnosť, právo a por.'!#REF!</f>
        <v>#REF!</v>
      </c>
      <c r="H60" s="171" t="e">
        <f t="shared" si="26"/>
        <v>#REF!</v>
      </c>
      <c r="I60" s="172">
        <v>0</v>
      </c>
      <c r="J60" s="172">
        <v>0</v>
      </c>
      <c r="K60" s="174" t="e">
        <f>'[2]5.Bezpečnosť, právo a por.'!#REF!</f>
        <v>#REF!</v>
      </c>
      <c r="L60" s="175" t="e">
        <f t="shared" si="27"/>
        <v>#REF!</v>
      </c>
      <c r="M60" s="172" t="e">
        <f>'[2]5.Bezpečnosť, právo a por.'!#REF!</f>
        <v>#REF!</v>
      </c>
      <c r="N60" s="172" t="e">
        <f>'[2]5.Bezpečnosť, právo a por.'!#REF!</f>
        <v>#REF!</v>
      </c>
      <c r="O60" s="174" t="e">
        <f>'[2]5.Bezpečnosť, právo a por.'!#REF!</f>
        <v>#REF!</v>
      </c>
      <c r="P60" s="214">
        <v>0</v>
      </c>
      <c r="Q60" s="215">
        <v>0</v>
      </c>
      <c r="R60" s="215">
        <v>0</v>
      </c>
      <c r="S60" s="216">
        <v>0</v>
      </c>
      <c r="T60" s="175" t="e">
        <f t="shared" si="28"/>
        <v>#REF!</v>
      </c>
      <c r="U60" s="172">
        <f>'[2]5.Bezpečnosť, právo a por.'!$H$77</f>
        <v>0</v>
      </c>
      <c r="V60" s="172"/>
      <c r="W60" s="174" t="e">
        <f>'[2]5.Bezpečnosť, právo a por.'!$J$76</f>
        <v>#REF!</v>
      </c>
    </row>
    <row r="61" spans="1:23" ht="16.5" x14ac:dyDescent="0.3">
      <c r="B61" s="193" t="s">
        <v>219</v>
      </c>
      <c r="C61" s="189" t="s">
        <v>220</v>
      </c>
      <c r="D61" s="171" t="e">
        <f t="shared" si="25"/>
        <v>#REF!</v>
      </c>
      <c r="E61" s="172">
        <v>1286</v>
      </c>
      <c r="F61" s="172" t="e">
        <f>'[2]5.Bezpečnosť, právo a por.'!#REF!</f>
        <v>#REF!</v>
      </c>
      <c r="G61" s="173" t="e">
        <f>'[2]5.Bezpečnosť, právo a por.'!#REF!</f>
        <v>#REF!</v>
      </c>
      <c r="H61" s="171" t="e">
        <f t="shared" si="26"/>
        <v>#REF!</v>
      </c>
      <c r="I61" s="172">
        <v>797</v>
      </c>
      <c r="J61" s="172">
        <v>0</v>
      </c>
      <c r="K61" s="174" t="e">
        <f>'[2]5.Bezpečnosť, právo a por.'!#REF!</f>
        <v>#REF!</v>
      </c>
      <c r="L61" s="175" t="e">
        <f t="shared" si="27"/>
        <v>#REF!</v>
      </c>
      <c r="M61" s="172" t="e">
        <f>'[2]5.Bezpečnosť, právo a por.'!#REF!</f>
        <v>#REF!</v>
      </c>
      <c r="N61" s="172" t="e">
        <f>'[2]5.Bezpečnosť, právo a por.'!#REF!</f>
        <v>#REF!</v>
      </c>
      <c r="O61" s="174" t="e">
        <f>'[2]5.Bezpečnosť, právo a por.'!#REF!</f>
        <v>#REF!</v>
      </c>
      <c r="P61" s="214">
        <v>914.32</v>
      </c>
      <c r="Q61" s="215">
        <v>914.32</v>
      </c>
      <c r="R61" s="215">
        <v>0</v>
      </c>
      <c r="S61" s="216">
        <v>0</v>
      </c>
      <c r="T61" s="175" t="e">
        <f t="shared" si="28"/>
        <v>#REF!</v>
      </c>
      <c r="U61" s="172">
        <f>'[2]5.Bezpečnosť, právo a por.'!$H$79</f>
        <v>1650</v>
      </c>
      <c r="V61" s="172" t="e">
        <f>'[2]5.Bezpečnosť, právo a por.'!$I$78</f>
        <v>#REF!</v>
      </c>
      <c r="W61" s="174" t="e">
        <f>'[2]5.Bezpečnosť, právo a por.'!$J$78</f>
        <v>#REF!</v>
      </c>
    </row>
    <row r="62" spans="1:23" ht="15.75" x14ac:dyDescent="0.25">
      <c r="B62" s="193" t="s">
        <v>221</v>
      </c>
      <c r="C62" s="184" t="s">
        <v>222</v>
      </c>
      <c r="D62" s="171" t="e">
        <f>SUM(D63:D66)</f>
        <v>#REF!</v>
      </c>
      <c r="E62" s="172">
        <f>SUM(E63:E66)</f>
        <v>255279.5</v>
      </c>
      <c r="F62" s="172" t="e">
        <f>SUM(F63:F66)</f>
        <v>#REF!</v>
      </c>
      <c r="G62" s="173" t="e">
        <f>SUM(G63:G66)</f>
        <v>#REF!</v>
      </c>
      <c r="H62" s="171" t="e">
        <f t="shared" si="26"/>
        <v>#REF!</v>
      </c>
      <c r="I62" s="172">
        <f t="shared" ref="I62:W62" si="29">SUM(I63:I66)</f>
        <v>270995.5</v>
      </c>
      <c r="J62" s="172">
        <f t="shared" si="29"/>
        <v>0</v>
      </c>
      <c r="K62" s="174" t="e">
        <f t="shared" si="29"/>
        <v>#REF!</v>
      </c>
      <c r="L62" s="175" t="e">
        <f t="shared" si="29"/>
        <v>#REF!</v>
      </c>
      <c r="M62" s="172" t="e">
        <f t="shared" si="29"/>
        <v>#REF!</v>
      </c>
      <c r="N62" s="172" t="e">
        <f t="shared" si="29"/>
        <v>#REF!</v>
      </c>
      <c r="O62" s="174" t="e">
        <f t="shared" si="29"/>
        <v>#REF!</v>
      </c>
      <c r="P62" s="214">
        <v>203577.43</v>
      </c>
      <c r="Q62" s="215">
        <v>203577.43</v>
      </c>
      <c r="R62" s="215">
        <v>0</v>
      </c>
      <c r="S62" s="216">
        <v>0</v>
      </c>
      <c r="T62" s="175" t="e">
        <f t="shared" si="29"/>
        <v>#REF!</v>
      </c>
      <c r="U62" s="172" t="e">
        <f t="shared" si="29"/>
        <v>#REF!</v>
      </c>
      <c r="V62" s="172">
        <f t="shared" si="29"/>
        <v>64679</v>
      </c>
      <c r="W62" s="174" t="e">
        <f t="shared" si="29"/>
        <v>#REF!</v>
      </c>
    </row>
    <row r="63" spans="1:23" ht="15.75" x14ac:dyDescent="0.25">
      <c r="B63" s="70">
        <v>1</v>
      </c>
      <c r="C63" s="84" t="s">
        <v>223</v>
      </c>
      <c r="D63" s="72" t="e">
        <f>SUM(E63:G63)</f>
        <v>#REF!</v>
      </c>
      <c r="E63" s="73">
        <v>0</v>
      </c>
      <c r="F63" s="73" t="e">
        <f>'[2]5.Bezpečnosť, právo a por.'!#REF!</f>
        <v>#REF!</v>
      </c>
      <c r="G63" s="74" t="e">
        <f>'[2]5.Bezpečnosť, právo a por.'!#REF!</f>
        <v>#REF!</v>
      </c>
      <c r="H63" s="72" t="e">
        <f t="shared" si="26"/>
        <v>#REF!</v>
      </c>
      <c r="I63" s="73">
        <v>0</v>
      </c>
      <c r="J63" s="73">
        <v>0</v>
      </c>
      <c r="K63" s="75" t="e">
        <f>'[2]5.Bezpečnosť, právo a por.'!#REF!</f>
        <v>#REF!</v>
      </c>
      <c r="L63" s="76" t="e">
        <f>SUM(M63:O63)</f>
        <v>#REF!</v>
      </c>
      <c r="M63" s="73" t="e">
        <f>'[2]5.Bezpečnosť, právo a por.'!#REF!</f>
        <v>#REF!</v>
      </c>
      <c r="N63" s="73" t="e">
        <f>'[2]5.Bezpečnosť, právo a por.'!#REF!</f>
        <v>#REF!</v>
      </c>
      <c r="O63" s="75" t="e">
        <f>'[2]5.Bezpečnosť, právo a por.'!#REF!</f>
        <v>#REF!</v>
      </c>
      <c r="P63" s="214">
        <v>0</v>
      </c>
      <c r="Q63" s="217">
        <v>0</v>
      </c>
      <c r="R63" s="217">
        <v>0</v>
      </c>
      <c r="S63" s="218">
        <v>0</v>
      </c>
      <c r="T63" s="76">
        <f>SUM(U63:W63)</f>
        <v>251721</v>
      </c>
      <c r="U63" s="73">
        <f>'[2]5.Bezpečnosť, právo a por.'!$H$95</f>
        <v>187042</v>
      </c>
      <c r="V63" s="73">
        <f>'[2]5.Bezpečnosť, právo a por.'!$I$94</f>
        <v>64679</v>
      </c>
      <c r="W63" s="75">
        <f>'[2]5.Bezpečnosť, právo a por.'!$J$94</f>
        <v>0</v>
      </c>
    </row>
    <row r="64" spans="1:23" ht="15.75" x14ac:dyDescent="0.25">
      <c r="B64" s="70">
        <v>2</v>
      </c>
      <c r="C64" s="84" t="s">
        <v>224</v>
      </c>
      <c r="D64" s="72" t="e">
        <f>SUM(E64:G64)</f>
        <v>#REF!</v>
      </c>
      <c r="E64" s="73">
        <v>57400.5</v>
      </c>
      <c r="F64" s="73" t="e">
        <f>'[2]5.Bezpečnosť, právo a por.'!#REF!</f>
        <v>#REF!</v>
      </c>
      <c r="G64" s="74" t="e">
        <f>'[2]5.Bezpečnosť, právo a por.'!#REF!</f>
        <v>#REF!</v>
      </c>
      <c r="H64" s="72" t="e">
        <f t="shared" si="26"/>
        <v>#REF!</v>
      </c>
      <c r="I64" s="73">
        <v>37515</v>
      </c>
      <c r="J64" s="73">
        <v>0</v>
      </c>
      <c r="K64" s="75" t="e">
        <f>'[2]5.Bezpečnosť, právo a por.'!#REF!</f>
        <v>#REF!</v>
      </c>
      <c r="L64" s="76" t="e">
        <f>SUM(M64:O64)</f>
        <v>#REF!</v>
      </c>
      <c r="M64" s="73">
        <v>42145</v>
      </c>
      <c r="N64" s="73" t="e">
        <f>'[2]5.Bezpečnosť, právo a por.'!#REF!</f>
        <v>#REF!</v>
      </c>
      <c r="O64" s="75" t="e">
        <f>'[2]5.Bezpečnosť, právo a por.'!#REF!</f>
        <v>#REF!</v>
      </c>
      <c r="P64" s="214">
        <v>32015.58</v>
      </c>
      <c r="Q64" s="217">
        <v>32015.58</v>
      </c>
      <c r="R64" s="217">
        <v>0</v>
      </c>
      <c r="S64" s="218">
        <v>0</v>
      </c>
      <c r="T64" s="76" t="e">
        <f>SUM(U64:W64)</f>
        <v>#REF!</v>
      </c>
      <c r="U64" s="73">
        <f>'[2]5.Bezpečnosť, právo a por.'!$H$101</f>
        <v>74900</v>
      </c>
      <c r="V64" s="73"/>
      <c r="W64" s="75" t="e">
        <f>'[2]5.Bezpečnosť, právo a por.'!$J$96</f>
        <v>#REF!</v>
      </c>
    </row>
    <row r="65" spans="1:23" ht="15.75" x14ac:dyDescent="0.25">
      <c r="B65" s="70">
        <v>3</v>
      </c>
      <c r="C65" s="84" t="s">
        <v>225</v>
      </c>
      <c r="D65" s="72" t="e">
        <f>SUM(E65:G65)</f>
        <v>#REF!</v>
      </c>
      <c r="E65" s="73">
        <v>197723</v>
      </c>
      <c r="F65" s="73" t="e">
        <f>'[2]5.Bezpečnosť, právo a por.'!#REF!</f>
        <v>#REF!</v>
      </c>
      <c r="G65" s="74" t="e">
        <f>'[2]5.Bezpečnosť, právo a por.'!#REF!</f>
        <v>#REF!</v>
      </c>
      <c r="H65" s="72" t="e">
        <f t="shared" si="26"/>
        <v>#REF!</v>
      </c>
      <c r="I65" s="73">
        <v>233480.5</v>
      </c>
      <c r="J65" s="73">
        <v>0</v>
      </c>
      <c r="K65" s="75" t="e">
        <f>'[2]5.Bezpečnosť, právo a por.'!#REF!</f>
        <v>#REF!</v>
      </c>
      <c r="L65" s="76" t="e">
        <f>SUM(M65:O65)</f>
        <v>#REF!</v>
      </c>
      <c r="M65" s="73" t="e">
        <f>'[2]5.Bezpečnosť, právo a por.'!#REF!</f>
        <v>#REF!</v>
      </c>
      <c r="N65" s="73" t="e">
        <f>'[2]5.Bezpečnosť, právo a por.'!#REF!</f>
        <v>#REF!</v>
      </c>
      <c r="O65" s="75" t="e">
        <f>'[2]5.Bezpečnosť, právo a por.'!#REF!</f>
        <v>#REF!</v>
      </c>
      <c r="P65" s="214">
        <v>171561.85</v>
      </c>
      <c r="Q65" s="217">
        <v>171561.85</v>
      </c>
      <c r="R65" s="217">
        <v>0</v>
      </c>
      <c r="S65" s="218">
        <v>0</v>
      </c>
      <c r="T65" s="76" t="e">
        <f>SUM(U65:W65)</f>
        <v>#REF!</v>
      </c>
      <c r="U65" s="73" t="e">
        <f>'[2]5.Bezpečnosť, právo a por.'!$H$103</f>
        <v>#REF!</v>
      </c>
      <c r="V65" s="73">
        <f>'[2]5.Bezpečnosť, právo a por.'!$I$102</f>
        <v>0</v>
      </c>
      <c r="W65" s="75">
        <f>'[2]5.Bezpečnosť, právo a por.'!$J$102</f>
        <v>0</v>
      </c>
    </row>
    <row r="66" spans="1:23" ht="15.75" x14ac:dyDescent="0.25">
      <c r="B66" s="70">
        <v>4</v>
      </c>
      <c r="C66" s="84" t="s">
        <v>226</v>
      </c>
      <c r="D66" s="72" t="e">
        <f>SUM(E66:G66)</f>
        <v>#REF!</v>
      </c>
      <c r="E66" s="73">
        <v>156</v>
      </c>
      <c r="F66" s="73" t="e">
        <f>'[2]5.Bezpečnosť, právo a por.'!#REF!</f>
        <v>#REF!</v>
      </c>
      <c r="G66" s="74" t="e">
        <f>'[2]5.Bezpečnosť, právo a por.'!#REF!</f>
        <v>#REF!</v>
      </c>
      <c r="H66" s="72" t="e">
        <f t="shared" si="26"/>
        <v>#REF!</v>
      </c>
      <c r="I66" s="73">
        <v>0</v>
      </c>
      <c r="J66" s="73">
        <v>0</v>
      </c>
      <c r="K66" s="75" t="e">
        <f>'[2]5.Bezpečnosť, právo a por.'!#REF!</f>
        <v>#REF!</v>
      </c>
      <c r="L66" s="76" t="e">
        <f>SUM(M66:O66)</f>
        <v>#REF!</v>
      </c>
      <c r="M66" s="73">
        <v>0</v>
      </c>
      <c r="N66" s="73" t="e">
        <f>'[2]5.Bezpečnosť, právo a por.'!#REF!</f>
        <v>#REF!</v>
      </c>
      <c r="O66" s="75" t="e">
        <f>'[2]5.Bezpečnosť, právo a por.'!#REF!</f>
        <v>#REF!</v>
      </c>
      <c r="P66" s="214">
        <v>0</v>
      </c>
      <c r="Q66" s="217">
        <v>0</v>
      </c>
      <c r="R66" s="217">
        <v>0</v>
      </c>
      <c r="S66" s="218">
        <v>0</v>
      </c>
      <c r="T66" s="76" t="e">
        <f>SUM(U66:W66)</f>
        <v>#REF!</v>
      </c>
      <c r="U66" s="73" t="e">
        <f>'[2]5.Bezpečnosť, právo a por.'!$H$106</f>
        <v>#REF!</v>
      </c>
      <c r="V66" s="73">
        <f>'[2]5.Bezpečnosť, právo a por.'!$I$105</f>
        <v>0</v>
      </c>
      <c r="W66" s="75">
        <f>'[2]5.Bezpečnosť, právo a por.'!$J$105</f>
        <v>0</v>
      </c>
    </row>
    <row r="67" spans="1:23" ht="15.75" x14ac:dyDescent="0.25">
      <c r="A67" s="93"/>
      <c r="B67" s="193" t="s">
        <v>227</v>
      </c>
      <c r="C67" s="194" t="s">
        <v>228</v>
      </c>
      <c r="D67" s="171" t="e">
        <f t="shared" ref="D67:W67" si="30">SUM(D68:D69)</f>
        <v>#REF!</v>
      </c>
      <c r="E67" s="172">
        <f t="shared" si="30"/>
        <v>1324</v>
      </c>
      <c r="F67" s="172" t="e">
        <f t="shared" si="30"/>
        <v>#REF!</v>
      </c>
      <c r="G67" s="173" t="e">
        <f t="shared" si="30"/>
        <v>#REF!</v>
      </c>
      <c r="H67" s="171" t="e">
        <f t="shared" si="30"/>
        <v>#REF!</v>
      </c>
      <c r="I67" s="172" t="e">
        <f t="shared" si="30"/>
        <v>#REF!</v>
      </c>
      <c r="J67" s="172">
        <f t="shared" si="30"/>
        <v>0</v>
      </c>
      <c r="K67" s="174" t="e">
        <f t="shared" si="30"/>
        <v>#REF!</v>
      </c>
      <c r="L67" s="175" t="e">
        <f t="shared" si="30"/>
        <v>#REF!</v>
      </c>
      <c r="M67" s="172" t="e">
        <f t="shared" si="30"/>
        <v>#REF!</v>
      </c>
      <c r="N67" s="172" t="e">
        <f t="shared" si="30"/>
        <v>#REF!</v>
      </c>
      <c r="O67" s="174" t="e">
        <f t="shared" si="30"/>
        <v>#REF!</v>
      </c>
      <c r="P67" s="214">
        <v>26.7</v>
      </c>
      <c r="Q67" s="215">
        <v>26.7</v>
      </c>
      <c r="R67" s="215">
        <v>0</v>
      </c>
      <c r="S67" s="216">
        <v>0</v>
      </c>
      <c r="T67" s="175" t="e">
        <f t="shared" si="30"/>
        <v>#REF!</v>
      </c>
      <c r="U67" s="172" t="e">
        <f t="shared" si="30"/>
        <v>#REF!</v>
      </c>
      <c r="V67" s="172">
        <f t="shared" si="30"/>
        <v>0</v>
      </c>
      <c r="W67" s="174">
        <f t="shared" si="30"/>
        <v>0</v>
      </c>
    </row>
    <row r="68" spans="1:23" ht="15.75" x14ac:dyDescent="0.25">
      <c r="A68" s="93"/>
      <c r="B68" s="70">
        <v>1</v>
      </c>
      <c r="C68" s="84" t="s">
        <v>229</v>
      </c>
      <c r="D68" s="72" t="e">
        <f>SUM(E68:G68)</f>
        <v>#REF!</v>
      </c>
      <c r="E68" s="73">
        <v>461</v>
      </c>
      <c r="F68" s="73" t="e">
        <f>'[2]5.Bezpečnosť, právo a por.'!#REF!</f>
        <v>#REF!</v>
      </c>
      <c r="G68" s="74" t="e">
        <f>'[2]5.Bezpečnosť, právo a por.'!#REF!</f>
        <v>#REF!</v>
      </c>
      <c r="H68" s="72" t="e">
        <f>SUM(I68:K68)</f>
        <v>#REF!</v>
      </c>
      <c r="I68" s="73" t="e">
        <f>'[2]5.Bezpečnosť, právo a por.'!#REF!</f>
        <v>#REF!</v>
      </c>
      <c r="J68" s="73">
        <v>0</v>
      </c>
      <c r="K68" s="75" t="e">
        <f>'[2]5.Bezpečnosť, právo a por.'!#REF!</f>
        <v>#REF!</v>
      </c>
      <c r="L68" s="76" t="e">
        <f>SUM(M68:O68)</f>
        <v>#REF!</v>
      </c>
      <c r="M68" s="73" t="e">
        <f>'[2]5.Bezpečnosť, právo a por.'!#REF!</f>
        <v>#REF!</v>
      </c>
      <c r="N68" s="73" t="e">
        <f>'[2]5.Bezpečnosť, právo a por.'!#REF!</f>
        <v>#REF!</v>
      </c>
      <c r="O68" s="75" t="e">
        <f>'[2]5.Bezpečnosť, právo a por.'!#REF!</f>
        <v>#REF!</v>
      </c>
      <c r="P68" s="214">
        <v>26.7</v>
      </c>
      <c r="Q68" s="217">
        <v>26.7</v>
      </c>
      <c r="R68" s="217">
        <v>0</v>
      </c>
      <c r="S68" s="218">
        <v>0</v>
      </c>
      <c r="T68" s="76">
        <f>SUM(U68:W68)</f>
        <v>1300</v>
      </c>
      <c r="U68" s="73">
        <f>'[2]5.Bezpečnosť, právo a por.'!$H$110</f>
        <v>1300</v>
      </c>
      <c r="V68" s="73">
        <f>'[2]5.Bezpečnosť, právo a por.'!$I$109</f>
        <v>0</v>
      </c>
      <c r="W68" s="75">
        <f>'[2]5.Bezpečnosť, právo a por.'!$J$109</f>
        <v>0</v>
      </c>
    </row>
    <row r="69" spans="1:23" ht="17.25" thickBot="1" x14ac:dyDescent="0.35">
      <c r="A69" s="93"/>
      <c r="B69" s="78">
        <v>2</v>
      </c>
      <c r="C69" s="95" t="s">
        <v>230</v>
      </c>
      <c r="D69" s="79" t="e">
        <f>SUM(E69:G69)</f>
        <v>#REF!</v>
      </c>
      <c r="E69" s="80">
        <v>863</v>
      </c>
      <c r="F69" s="80" t="e">
        <f>'[2]5.Bezpečnosť, právo a por.'!#REF!</f>
        <v>#REF!</v>
      </c>
      <c r="G69" s="81" t="e">
        <f>'[2]5.Bezpečnosť, právo a por.'!#REF!</f>
        <v>#REF!</v>
      </c>
      <c r="H69" s="72" t="e">
        <f>SUM(I69:K69)</f>
        <v>#REF!</v>
      </c>
      <c r="I69" s="82">
        <v>0</v>
      </c>
      <c r="J69" s="82">
        <v>0</v>
      </c>
      <c r="K69" s="83" t="e">
        <f>'[2]5.Bezpečnosť, právo a por.'!#REF!</f>
        <v>#REF!</v>
      </c>
      <c r="L69" s="89" t="e">
        <f>SUM(M69:O69)</f>
        <v>#REF!</v>
      </c>
      <c r="M69" s="80" t="e">
        <f>'[2]5.Bezpečnosť, právo a por.'!#REF!</f>
        <v>#REF!</v>
      </c>
      <c r="N69" s="80" t="e">
        <f>'[2]5.Bezpečnosť, právo a por.'!#REF!</f>
        <v>#REF!</v>
      </c>
      <c r="O69" s="90" t="e">
        <f>'[2]5.Bezpečnosť, právo a por.'!#REF!</f>
        <v>#REF!</v>
      </c>
      <c r="P69" s="224">
        <v>0</v>
      </c>
      <c r="Q69" s="232">
        <v>0</v>
      </c>
      <c r="R69" s="232">
        <v>0</v>
      </c>
      <c r="S69" s="233">
        <v>0</v>
      </c>
      <c r="T69" s="89" t="e">
        <f>SUM(U69:W69)</f>
        <v>#REF!</v>
      </c>
      <c r="U69" s="80" t="e">
        <f>'[2]5.Bezpečnosť, právo a por.'!$H$112</f>
        <v>#REF!</v>
      </c>
      <c r="V69" s="80">
        <f>'[2]5.Bezpečnosť, právo a por.'!$I$111</f>
        <v>0</v>
      </c>
      <c r="W69" s="90">
        <f>'[2]5.Bezpečnosť, právo a por.'!$J$111</f>
        <v>0</v>
      </c>
    </row>
    <row r="70" spans="1:23" s="63" customFormat="1" ht="14.25" x14ac:dyDescent="0.2">
      <c r="A70" s="93"/>
      <c r="B70" s="154" t="s">
        <v>231</v>
      </c>
      <c r="C70" s="155"/>
      <c r="D70" s="149" t="e">
        <f t="shared" ref="D70:W70" si="31">D71+D74+D77</f>
        <v>#REF!</v>
      </c>
      <c r="E70" s="150">
        <f t="shared" si="31"/>
        <v>702096</v>
      </c>
      <c r="F70" s="150" t="e">
        <f t="shared" si="31"/>
        <v>#REF!</v>
      </c>
      <c r="G70" s="151" t="e">
        <f t="shared" si="31"/>
        <v>#REF!</v>
      </c>
      <c r="H70" s="149" t="e">
        <f t="shared" si="31"/>
        <v>#REF!</v>
      </c>
      <c r="I70" s="150">
        <f t="shared" si="31"/>
        <v>666597</v>
      </c>
      <c r="J70" s="150" t="e">
        <f t="shared" si="31"/>
        <v>#REF!</v>
      </c>
      <c r="K70" s="152" t="e">
        <f t="shared" si="31"/>
        <v>#REF!</v>
      </c>
      <c r="L70" s="153" t="e">
        <f t="shared" si="31"/>
        <v>#REF!</v>
      </c>
      <c r="M70" s="150" t="e">
        <f t="shared" si="31"/>
        <v>#REF!</v>
      </c>
      <c r="N70" s="150" t="e">
        <f t="shared" si="31"/>
        <v>#REF!</v>
      </c>
      <c r="O70" s="152" t="e">
        <f t="shared" si="31"/>
        <v>#REF!</v>
      </c>
      <c r="P70" s="222">
        <v>698135.79</v>
      </c>
      <c r="Q70" s="223">
        <v>698135.79</v>
      </c>
      <c r="R70" s="223">
        <v>0</v>
      </c>
      <c r="S70" s="227">
        <v>0</v>
      </c>
      <c r="T70" s="153">
        <f t="shared" si="31"/>
        <v>749050</v>
      </c>
      <c r="U70" s="150">
        <f t="shared" si="31"/>
        <v>743850</v>
      </c>
      <c r="V70" s="150">
        <f t="shared" si="31"/>
        <v>5200</v>
      </c>
      <c r="W70" s="152">
        <f t="shared" si="31"/>
        <v>0</v>
      </c>
    </row>
    <row r="71" spans="1:23" ht="15.75" x14ac:dyDescent="0.25">
      <c r="A71" s="85"/>
      <c r="B71" s="193" t="s">
        <v>232</v>
      </c>
      <c r="C71" s="194" t="s">
        <v>233</v>
      </c>
      <c r="D71" s="171" t="e">
        <f t="shared" ref="D71:W71" si="32">SUM(D72:D73)</f>
        <v>#REF!</v>
      </c>
      <c r="E71" s="172">
        <f t="shared" si="32"/>
        <v>518307</v>
      </c>
      <c r="F71" s="172" t="e">
        <f t="shared" si="32"/>
        <v>#REF!</v>
      </c>
      <c r="G71" s="173" t="e">
        <f t="shared" si="32"/>
        <v>#REF!</v>
      </c>
      <c r="H71" s="171" t="e">
        <f t="shared" si="32"/>
        <v>#REF!</v>
      </c>
      <c r="I71" s="172">
        <f t="shared" si="32"/>
        <v>514507</v>
      </c>
      <c r="J71" s="172" t="e">
        <f t="shared" si="32"/>
        <v>#REF!</v>
      </c>
      <c r="K71" s="174" t="e">
        <f t="shared" si="32"/>
        <v>#REF!</v>
      </c>
      <c r="L71" s="175" t="e">
        <f t="shared" si="32"/>
        <v>#REF!</v>
      </c>
      <c r="M71" s="172" t="e">
        <f t="shared" si="32"/>
        <v>#REF!</v>
      </c>
      <c r="N71" s="172" t="e">
        <f t="shared" si="32"/>
        <v>#REF!</v>
      </c>
      <c r="O71" s="174" t="e">
        <f t="shared" si="32"/>
        <v>#REF!</v>
      </c>
      <c r="P71" s="214">
        <v>524715.03</v>
      </c>
      <c r="Q71" s="215">
        <v>524715.03</v>
      </c>
      <c r="R71" s="215">
        <v>0</v>
      </c>
      <c r="S71" s="216">
        <v>0</v>
      </c>
      <c r="T71" s="175">
        <f t="shared" si="32"/>
        <v>564050</v>
      </c>
      <c r="U71" s="172">
        <f t="shared" si="32"/>
        <v>558850</v>
      </c>
      <c r="V71" s="172">
        <f t="shared" si="32"/>
        <v>5200</v>
      </c>
      <c r="W71" s="174">
        <f t="shared" si="32"/>
        <v>0</v>
      </c>
    </row>
    <row r="72" spans="1:23" ht="15.75" x14ac:dyDescent="0.25">
      <c r="B72" s="70">
        <v>1</v>
      </c>
      <c r="C72" s="94" t="s">
        <v>234</v>
      </c>
      <c r="D72" s="72" t="e">
        <f>SUM(E72:G72)</f>
        <v>#REF!</v>
      </c>
      <c r="E72" s="73">
        <v>278</v>
      </c>
      <c r="F72" s="73" t="e">
        <f>'[2]6.Odpadové hospodárstvo'!#REF!</f>
        <v>#REF!</v>
      </c>
      <c r="G72" s="74" t="e">
        <f>'[2]6.Odpadové hospodárstvo'!#REF!</f>
        <v>#REF!</v>
      </c>
      <c r="H72" s="72" t="e">
        <f>SUM(I72:K72)</f>
        <v>#REF!</v>
      </c>
      <c r="I72" s="73">
        <v>265</v>
      </c>
      <c r="J72" s="73" t="e">
        <f>'[2]6.Odpadové hospodárstvo'!#REF!</f>
        <v>#REF!</v>
      </c>
      <c r="K72" s="75" t="e">
        <f>'[2]6.Odpadové hospodárstvo'!#REF!</f>
        <v>#REF!</v>
      </c>
      <c r="L72" s="76" t="e">
        <f>SUM(M72:O72)</f>
        <v>#REF!</v>
      </c>
      <c r="M72" s="73" t="e">
        <f>'[2]6.Odpadové hospodárstvo'!#REF!</f>
        <v>#REF!</v>
      </c>
      <c r="N72" s="73" t="e">
        <f>'[2]6.Odpadové hospodárstvo'!#REF!</f>
        <v>#REF!</v>
      </c>
      <c r="O72" s="75" t="e">
        <f>'[2]6.Odpadové hospodárstvo'!#REF!</f>
        <v>#REF!</v>
      </c>
      <c r="P72" s="214">
        <v>287.73</v>
      </c>
      <c r="Q72" s="217">
        <v>287.73</v>
      </c>
      <c r="R72" s="217">
        <v>0</v>
      </c>
      <c r="S72" s="218">
        <v>0</v>
      </c>
      <c r="T72" s="76">
        <f>SUM(U72:W72)</f>
        <v>6050</v>
      </c>
      <c r="U72" s="73">
        <f>'[2]6.Odpadové hospodárstvo'!$H$5</f>
        <v>850</v>
      </c>
      <c r="V72" s="73">
        <f>'[2]6.Odpadové hospodárstvo'!$I$5</f>
        <v>5200</v>
      </c>
      <c r="W72" s="75">
        <f>'[2]6.Odpadové hospodárstvo'!$J$5</f>
        <v>0</v>
      </c>
    </row>
    <row r="73" spans="1:23" ht="15.75" x14ac:dyDescent="0.25">
      <c r="B73" s="70">
        <v>2</v>
      </c>
      <c r="C73" s="84" t="s">
        <v>235</v>
      </c>
      <c r="D73" s="72" t="e">
        <f>SUM(E73:G73)</f>
        <v>#REF!</v>
      </c>
      <c r="E73" s="73">
        <v>518029</v>
      </c>
      <c r="F73" s="73" t="e">
        <f>'[2]6.Odpadové hospodárstvo'!#REF!</f>
        <v>#REF!</v>
      </c>
      <c r="G73" s="74" t="e">
        <f>'[2]6.Odpadové hospodárstvo'!#REF!</f>
        <v>#REF!</v>
      </c>
      <c r="H73" s="72" t="e">
        <f>SUM(I73:K73)</f>
        <v>#REF!</v>
      </c>
      <c r="I73" s="73">
        <v>514242</v>
      </c>
      <c r="J73" s="73" t="e">
        <f>'[2]6.Odpadové hospodárstvo'!#REF!</f>
        <v>#REF!</v>
      </c>
      <c r="K73" s="75" t="e">
        <f>'[2]6.Odpadové hospodárstvo'!#REF!</f>
        <v>#REF!</v>
      </c>
      <c r="L73" s="76" t="e">
        <f>SUM(M73:O73)</f>
        <v>#REF!</v>
      </c>
      <c r="M73" s="73" t="e">
        <f>'[2]6.Odpadové hospodárstvo'!#REF!</f>
        <v>#REF!</v>
      </c>
      <c r="N73" s="73" t="e">
        <f>'[2]6.Odpadové hospodárstvo'!#REF!</f>
        <v>#REF!</v>
      </c>
      <c r="O73" s="75" t="e">
        <f>'[2]6.Odpadové hospodárstvo'!#REF!</f>
        <v>#REF!</v>
      </c>
      <c r="P73" s="214">
        <v>524427.30000000005</v>
      </c>
      <c r="Q73" s="217">
        <v>524427.30000000005</v>
      </c>
      <c r="R73" s="217">
        <v>0</v>
      </c>
      <c r="S73" s="218">
        <v>0</v>
      </c>
      <c r="T73" s="76">
        <f>SUM(U73:W73)</f>
        <v>558000</v>
      </c>
      <c r="U73" s="73">
        <f>'[2]6.Odpadové hospodárstvo'!$H$10</f>
        <v>558000</v>
      </c>
      <c r="V73" s="73">
        <f>'[2]6.Odpadové hospodárstvo'!$I$10</f>
        <v>0</v>
      </c>
      <c r="W73" s="75">
        <f>'[2]6.Odpadové hospodárstvo'!$J$10</f>
        <v>0</v>
      </c>
    </row>
    <row r="74" spans="1:23" ht="15.75" x14ac:dyDescent="0.25">
      <c r="B74" s="193" t="s">
        <v>236</v>
      </c>
      <c r="C74" s="184" t="s">
        <v>237</v>
      </c>
      <c r="D74" s="171" t="e">
        <f t="shared" ref="D74:W74" si="33">SUM(D75:D76)</f>
        <v>#REF!</v>
      </c>
      <c r="E74" s="172">
        <f t="shared" si="33"/>
        <v>107980</v>
      </c>
      <c r="F74" s="172" t="e">
        <f t="shared" si="33"/>
        <v>#REF!</v>
      </c>
      <c r="G74" s="173" t="e">
        <f t="shared" si="33"/>
        <v>#REF!</v>
      </c>
      <c r="H74" s="171" t="e">
        <f t="shared" si="33"/>
        <v>#REF!</v>
      </c>
      <c r="I74" s="172">
        <f t="shared" si="33"/>
        <v>78763</v>
      </c>
      <c r="J74" s="172" t="e">
        <f t="shared" si="33"/>
        <v>#REF!</v>
      </c>
      <c r="K74" s="174" t="e">
        <f t="shared" si="33"/>
        <v>#REF!</v>
      </c>
      <c r="L74" s="175" t="e">
        <f t="shared" si="33"/>
        <v>#REF!</v>
      </c>
      <c r="M74" s="172" t="e">
        <f t="shared" si="33"/>
        <v>#REF!</v>
      </c>
      <c r="N74" s="172" t="e">
        <f t="shared" si="33"/>
        <v>#REF!</v>
      </c>
      <c r="O74" s="174" t="e">
        <f t="shared" si="33"/>
        <v>#REF!</v>
      </c>
      <c r="P74" s="214">
        <v>94003.83</v>
      </c>
      <c r="Q74" s="215">
        <v>94003.83</v>
      </c>
      <c r="R74" s="215">
        <v>0</v>
      </c>
      <c r="S74" s="216">
        <v>0</v>
      </c>
      <c r="T74" s="175">
        <f t="shared" si="33"/>
        <v>100650</v>
      </c>
      <c r="U74" s="172">
        <f t="shared" si="33"/>
        <v>100650</v>
      </c>
      <c r="V74" s="172">
        <f t="shared" si="33"/>
        <v>0</v>
      </c>
      <c r="W74" s="174">
        <f t="shared" si="33"/>
        <v>0</v>
      </c>
    </row>
    <row r="75" spans="1:23" ht="15.75" x14ac:dyDescent="0.25">
      <c r="B75" s="70">
        <v>1</v>
      </c>
      <c r="C75" s="84" t="s">
        <v>238</v>
      </c>
      <c r="D75" s="72" t="e">
        <f>SUM(E75:G75)</f>
        <v>#REF!</v>
      </c>
      <c r="E75" s="73">
        <v>97706</v>
      </c>
      <c r="F75" s="73" t="e">
        <f>'[2]6.Odpadové hospodárstvo'!#REF!</f>
        <v>#REF!</v>
      </c>
      <c r="G75" s="74" t="e">
        <f>'[2]6.Odpadové hospodárstvo'!#REF!</f>
        <v>#REF!</v>
      </c>
      <c r="H75" s="72" t="e">
        <f>SUM(I75:K75)</f>
        <v>#REF!</v>
      </c>
      <c r="I75" s="73">
        <v>68842</v>
      </c>
      <c r="J75" s="73" t="e">
        <f>'[2]6.Odpadové hospodárstvo'!#REF!</f>
        <v>#REF!</v>
      </c>
      <c r="K75" s="75" t="e">
        <f>'[2]6.Odpadové hospodárstvo'!#REF!</f>
        <v>#REF!</v>
      </c>
      <c r="L75" s="76" t="e">
        <f>SUM(M75:O75)</f>
        <v>#REF!</v>
      </c>
      <c r="M75" s="73" t="e">
        <f>'[2]6.Odpadové hospodárstvo'!#REF!</f>
        <v>#REF!</v>
      </c>
      <c r="N75" s="73" t="e">
        <f>'[2]6.Odpadové hospodárstvo'!#REF!</f>
        <v>#REF!</v>
      </c>
      <c r="O75" s="75" t="e">
        <f>'[2]6.Odpadové hospodárstvo'!#REF!</f>
        <v>#REF!</v>
      </c>
      <c r="P75" s="214">
        <v>82086.899999999994</v>
      </c>
      <c r="Q75" s="217">
        <v>82086.899999999994</v>
      </c>
      <c r="R75" s="217">
        <v>0</v>
      </c>
      <c r="S75" s="218">
        <v>0</v>
      </c>
      <c r="T75" s="76">
        <f>SUM(U75:W75)</f>
        <v>86950</v>
      </c>
      <c r="U75" s="73">
        <f>'[2]6.Odpadové hospodárstvo'!$H$15</f>
        <v>86950</v>
      </c>
      <c r="V75" s="73">
        <f>'[2]6.Odpadové hospodárstvo'!$I$15</f>
        <v>0</v>
      </c>
      <c r="W75" s="75">
        <f>'[2]6.Odpadové hospodárstvo'!$J$15</f>
        <v>0</v>
      </c>
    </row>
    <row r="76" spans="1:23" ht="15.75" x14ac:dyDescent="0.25">
      <c r="B76" s="70">
        <v>2</v>
      </c>
      <c r="C76" s="94" t="s">
        <v>239</v>
      </c>
      <c r="D76" s="72" t="e">
        <f>SUM(E76:G76)</f>
        <v>#REF!</v>
      </c>
      <c r="E76" s="73">
        <v>10274</v>
      </c>
      <c r="F76" s="73" t="e">
        <f>'[2]6.Odpadové hospodárstvo'!#REF!</f>
        <v>#REF!</v>
      </c>
      <c r="G76" s="74" t="e">
        <f>'[2]6.Odpadové hospodárstvo'!#REF!</f>
        <v>#REF!</v>
      </c>
      <c r="H76" s="72" t="e">
        <f>SUM(I76:K76)</f>
        <v>#REF!</v>
      </c>
      <c r="I76" s="73">
        <v>9921</v>
      </c>
      <c r="J76" s="73" t="e">
        <f>'[2]6.Odpadové hospodárstvo'!#REF!</f>
        <v>#REF!</v>
      </c>
      <c r="K76" s="75" t="e">
        <f>'[2]6.Odpadové hospodárstvo'!#REF!</f>
        <v>#REF!</v>
      </c>
      <c r="L76" s="76" t="e">
        <f>SUM(M76:O76)</f>
        <v>#REF!</v>
      </c>
      <c r="M76" s="73" t="e">
        <f>'[2]6.Odpadové hospodárstvo'!#REF!</f>
        <v>#REF!</v>
      </c>
      <c r="N76" s="73" t="e">
        <f>'[2]6.Odpadové hospodárstvo'!#REF!</f>
        <v>#REF!</v>
      </c>
      <c r="O76" s="75" t="e">
        <f>'[2]6.Odpadové hospodárstvo'!#REF!</f>
        <v>#REF!</v>
      </c>
      <c r="P76" s="214">
        <v>11916.93</v>
      </c>
      <c r="Q76" s="217">
        <v>11916.93</v>
      </c>
      <c r="R76" s="217">
        <v>0</v>
      </c>
      <c r="S76" s="218">
        <v>0</v>
      </c>
      <c r="T76" s="76">
        <f>SUM(U76:W76)</f>
        <v>13700</v>
      </c>
      <c r="U76" s="73">
        <f>'[2]6.Odpadové hospodárstvo'!$H$18</f>
        <v>13700</v>
      </c>
      <c r="V76" s="73">
        <f>'[2]6.Odpadové hospodárstvo'!$I$18</f>
        <v>0</v>
      </c>
      <c r="W76" s="75">
        <f>'[2]6.Odpadové hospodárstvo'!$J$18</f>
        <v>0</v>
      </c>
    </row>
    <row r="77" spans="1:23" ht="16.5" thickBot="1" x14ac:dyDescent="0.3">
      <c r="B77" s="195" t="s">
        <v>240</v>
      </c>
      <c r="C77" s="196" t="s">
        <v>241</v>
      </c>
      <c r="D77" s="178" t="e">
        <f>SUM(E77:G77)</f>
        <v>#REF!</v>
      </c>
      <c r="E77" s="179">
        <v>75809</v>
      </c>
      <c r="F77" s="179">
        <v>52058</v>
      </c>
      <c r="G77" s="180" t="e">
        <f>'[2]6.Odpadové hospodárstvo'!#REF!</f>
        <v>#REF!</v>
      </c>
      <c r="H77" s="186" t="e">
        <f>SUM(I77:K77)</f>
        <v>#REF!</v>
      </c>
      <c r="I77" s="181">
        <v>73327</v>
      </c>
      <c r="J77" s="181" t="e">
        <f>'[2]6.Odpadové hospodárstvo'!#REF!</f>
        <v>#REF!</v>
      </c>
      <c r="K77" s="182" t="e">
        <f>'[2]6.Odpadové hospodárstvo'!#REF!</f>
        <v>#REF!</v>
      </c>
      <c r="L77" s="187" t="e">
        <f>SUM(M77:O77)</f>
        <v>#REF!</v>
      </c>
      <c r="M77" s="179" t="e">
        <f>'[2]6.Odpadové hospodárstvo'!#REF!</f>
        <v>#REF!</v>
      </c>
      <c r="N77" s="179" t="e">
        <f>'[2]6.Odpadové hospodárstvo'!#REF!</f>
        <v>#REF!</v>
      </c>
      <c r="O77" s="188" t="e">
        <f>'[2]6.Odpadové hospodárstvo'!#REF!</f>
        <v>#REF!</v>
      </c>
      <c r="P77" s="224">
        <v>79416.929999999993</v>
      </c>
      <c r="Q77" s="225">
        <v>79416.929999999993</v>
      </c>
      <c r="R77" s="225">
        <v>0</v>
      </c>
      <c r="S77" s="226">
        <v>0</v>
      </c>
      <c r="T77" s="187">
        <f>SUM(U77:W77)</f>
        <v>84350</v>
      </c>
      <c r="U77" s="179">
        <f>'[2]6.Odpadové hospodárstvo'!$H$20</f>
        <v>84350</v>
      </c>
      <c r="V77" s="179">
        <f>'[2]6.Odpadové hospodárstvo'!$I$20</f>
        <v>0</v>
      </c>
      <c r="W77" s="188">
        <f>'[2]6.Odpadové hospodárstvo'!$J$20</f>
        <v>0</v>
      </c>
    </row>
    <row r="78" spans="1:23" s="63" customFormat="1" ht="14.25" x14ac:dyDescent="0.2">
      <c r="B78" s="154" t="s">
        <v>242</v>
      </c>
      <c r="C78" s="155"/>
      <c r="D78" s="149" t="e">
        <f t="shared" ref="D78:W78" si="34">D79+D87+D90</f>
        <v>#REF!</v>
      </c>
      <c r="E78" s="150" t="e">
        <f t="shared" si="34"/>
        <v>#REF!</v>
      </c>
      <c r="F78" s="150" t="e">
        <f t="shared" si="34"/>
        <v>#REF!</v>
      </c>
      <c r="G78" s="151" t="e">
        <f t="shared" si="34"/>
        <v>#REF!</v>
      </c>
      <c r="H78" s="149" t="e">
        <f t="shared" si="34"/>
        <v>#REF!</v>
      </c>
      <c r="I78" s="150" t="e">
        <f t="shared" si="34"/>
        <v>#REF!</v>
      </c>
      <c r="J78" s="150" t="e">
        <f t="shared" si="34"/>
        <v>#REF!</v>
      </c>
      <c r="K78" s="152" t="e">
        <f t="shared" si="34"/>
        <v>#REF!</v>
      </c>
      <c r="L78" s="153" t="e">
        <f t="shared" si="34"/>
        <v>#REF!</v>
      </c>
      <c r="M78" s="150" t="e">
        <f t="shared" si="34"/>
        <v>#REF!</v>
      </c>
      <c r="N78" s="150" t="e">
        <f t="shared" si="34"/>
        <v>#REF!</v>
      </c>
      <c r="O78" s="152" t="e">
        <f t="shared" si="34"/>
        <v>#REF!</v>
      </c>
      <c r="P78" s="222">
        <v>948075.11</v>
      </c>
      <c r="Q78" s="223">
        <v>274180.21999999997</v>
      </c>
      <c r="R78" s="223">
        <v>368710.89</v>
      </c>
      <c r="S78" s="227">
        <v>305184</v>
      </c>
      <c r="T78" s="153">
        <f t="shared" si="34"/>
        <v>899603</v>
      </c>
      <c r="U78" s="150">
        <f t="shared" si="34"/>
        <v>377705</v>
      </c>
      <c r="V78" s="150">
        <f t="shared" si="34"/>
        <v>128850</v>
      </c>
      <c r="W78" s="152">
        <f t="shared" si="34"/>
        <v>393048</v>
      </c>
    </row>
    <row r="79" spans="1:23" ht="15.75" x14ac:dyDescent="0.25">
      <c r="B79" s="193" t="s">
        <v>243</v>
      </c>
      <c r="C79" s="184" t="s">
        <v>244</v>
      </c>
      <c r="D79" s="171" t="e">
        <f t="shared" ref="D79:W79" si="35">SUM(D80:D86)</f>
        <v>#REF!</v>
      </c>
      <c r="E79" s="172" t="e">
        <f t="shared" si="35"/>
        <v>#REF!</v>
      </c>
      <c r="F79" s="172" t="e">
        <f t="shared" si="35"/>
        <v>#REF!</v>
      </c>
      <c r="G79" s="173" t="e">
        <f t="shared" si="35"/>
        <v>#REF!</v>
      </c>
      <c r="H79" s="171">
        <f t="shared" si="35"/>
        <v>716581.5</v>
      </c>
      <c r="I79" s="172">
        <f t="shared" si="35"/>
        <v>248438.5</v>
      </c>
      <c r="J79" s="172">
        <f t="shared" si="35"/>
        <v>162959</v>
      </c>
      <c r="K79" s="174">
        <f t="shared" si="35"/>
        <v>305184</v>
      </c>
      <c r="L79" s="175" t="e">
        <f t="shared" si="35"/>
        <v>#REF!</v>
      </c>
      <c r="M79" s="172" t="e">
        <f t="shared" si="35"/>
        <v>#REF!</v>
      </c>
      <c r="N79" s="172" t="e">
        <f t="shared" si="35"/>
        <v>#REF!</v>
      </c>
      <c r="O79" s="174" t="e">
        <f t="shared" si="35"/>
        <v>#REF!</v>
      </c>
      <c r="P79" s="214">
        <v>948075.11</v>
      </c>
      <c r="Q79" s="215">
        <v>274180.21999999997</v>
      </c>
      <c r="R79" s="215">
        <v>368710.89</v>
      </c>
      <c r="S79" s="216">
        <v>305184</v>
      </c>
      <c r="T79" s="175">
        <f t="shared" si="35"/>
        <v>770603</v>
      </c>
      <c r="U79" s="172">
        <f t="shared" si="35"/>
        <v>368705</v>
      </c>
      <c r="V79" s="172">
        <f t="shared" si="35"/>
        <v>8850</v>
      </c>
      <c r="W79" s="174">
        <f t="shared" si="35"/>
        <v>393048</v>
      </c>
    </row>
    <row r="80" spans="1:23" ht="15.75" x14ac:dyDescent="0.25">
      <c r="B80" s="70">
        <v>1</v>
      </c>
      <c r="C80" s="84" t="s">
        <v>245</v>
      </c>
      <c r="D80" s="72" t="e">
        <f t="shared" ref="D80:D86" si="36">SUM(E80:G80)</f>
        <v>#REF!</v>
      </c>
      <c r="E80" s="73" t="e">
        <f>'[2]7.Komunikácie'!#REF!</f>
        <v>#REF!</v>
      </c>
      <c r="F80" s="73" t="e">
        <f>'[2]7.Komunikácie'!#REF!</f>
        <v>#REF!</v>
      </c>
      <c r="G80" s="74" t="e">
        <f>'[2]7.Komunikácie'!#REF!</f>
        <v>#REF!</v>
      </c>
      <c r="H80" s="72">
        <f t="shared" ref="H80:H86" si="37">SUM(I80:K80)</f>
        <v>0</v>
      </c>
      <c r="I80" s="73">
        <v>0</v>
      </c>
      <c r="J80" s="73">
        <v>0</v>
      </c>
      <c r="K80" s="75">
        <v>0</v>
      </c>
      <c r="L80" s="76" t="e">
        <f t="shared" ref="L80:L86" si="38">SUM(M80:O80)</f>
        <v>#REF!</v>
      </c>
      <c r="M80" s="73" t="e">
        <f>'[2]7.Komunikácie'!#REF!</f>
        <v>#REF!</v>
      </c>
      <c r="N80" s="73" t="e">
        <f>'[2]7.Komunikácie'!#REF!</f>
        <v>#REF!</v>
      </c>
      <c r="O80" s="75" t="e">
        <f>'[2]7.Komunikácie'!#REF!</f>
        <v>#REF!</v>
      </c>
      <c r="P80" s="214">
        <v>0</v>
      </c>
      <c r="Q80" s="217">
        <v>0</v>
      </c>
      <c r="R80" s="217">
        <v>0</v>
      </c>
      <c r="S80" s="218">
        <v>0</v>
      </c>
      <c r="T80" s="76">
        <f t="shared" ref="T80:T86" si="39">SUM(U80:W80)</f>
        <v>0</v>
      </c>
      <c r="U80" s="73">
        <f>'[2]7.Komunikácie'!$H$5</f>
        <v>0</v>
      </c>
      <c r="V80" s="73">
        <f>'[2]7.Komunikácie'!$I$5</f>
        <v>0</v>
      </c>
      <c r="W80" s="75">
        <f>'[2]7.Komunikácie'!$J$5</f>
        <v>0</v>
      </c>
    </row>
    <row r="81" spans="2:23" ht="15.75" x14ac:dyDescent="0.25">
      <c r="B81" s="70">
        <v>2</v>
      </c>
      <c r="C81" s="84" t="s">
        <v>246</v>
      </c>
      <c r="D81" s="72">
        <f t="shared" si="36"/>
        <v>602449.49</v>
      </c>
      <c r="E81" s="73">
        <v>45661.49</v>
      </c>
      <c r="F81" s="73">
        <v>348552</v>
      </c>
      <c r="G81" s="74">
        <v>208236</v>
      </c>
      <c r="H81" s="72">
        <f t="shared" si="37"/>
        <v>534980</v>
      </c>
      <c r="I81" s="73">
        <v>66837</v>
      </c>
      <c r="J81" s="73">
        <v>162959</v>
      </c>
      <c r="K81" s="75">
        <v>305184</v>
      </c>
      <c r="L81" s="76" t="e">
        <f t="shared" si="38"/>
        <v>#REF!</v>
      </c>
      <c r="M81" s="73" t="e">
        <f>'[2]7.Komunikácie'!#REF!</f>
        <v>#REF!</v>
      </c>
      <c r="N81" s="73" t="e">
        <f>'[2]7.Komunikácie'!#REF!</f>
        <v>#REF!</v>
      </c>
      <c r="O81" s="75" t="e">
        <f>'[2]7.Komunikácie'!#REF!</f>
        <v>#REF!</v>
      </c>
      <c r="P81" s="214">
        <v>785677.72</v>
      </c>
      <c r="Q81" s="217">
        <v>111782.83</v>
      </c>
      <c r="R81" s="217">
        <v>368710.89</v>
      </c>
      <c r="S81" s="218">
        <v>305184</v>
      </c>
      <c r="T81" s="76">
        <f t="shared" si="39"/>
        <v>493103</v>
      </c>
      <c r="U81" s="73">
        <f>'[2]7.Komunikácie'!$H$7</f>
        <v>91205</v>
      </c>
      <c r="V81" s="73">
        <f>'[2]7.Komunikácie'!$I$7</f>
        <v>8850</v>
      </c>
      <c r="W81" s="75">
        <f>'[2]7.Komunikácie'!$J$7</f>
        <v>393048</v>
      </c>
    </row>
    <row r="82" spans="2:23" ht="15.75" x14ac:dyDescent="0.25">
      <c r="B82" s="70">
        <v>3</v>
      </c>
      <c r="C82" s="84" t="s">
        <v>247</v>
      </c>
      <c r="D82" s="72" t="e">
        <f t="shared" si="36"/>
        <v>#REF!</v>
      </c>
      <c r="E82" s="73">
        <v>32923.49</v>
      </c>
      <c r="F82" s="73" t="e">
        <f>'[2]7.Komunikácie'!#REF!</f>
        <v>#REF!</v>
      </c>
      <c r="G82" s="74" t="e">
        <f>'[2]7.Komunikácie'!#REF!</f>
        <v>#REF!</v>
      </c>
      <c r="H82" s="72">
        <f t="shared" si="37"/>
        <v>64576.5</v>
      </c>
      <c r="I82" s="73">
        <v>64576.5</v>
      </c>
      <c r="J82" s="73">
        <v>0</v>
      </c>
      <c r="K82" s="73">
        <v>0</v>
      </c>
      <c r="L82" s="76" t="e">
        <f t="shared" si="38"/>
        <v>#REF!</v>
      </c>
      <c r="M82" s="73" t="e">
        <f>'[2]7.Komunikácie'!#REF!</f>
        <v>#REF!</v>
      </c>
      <c r="N82" s="73" t="e">
        <f>'[2]7.Komunikácie'!#REF!</f>
        <v>#REF!</v>
      </c>
      <c r="O82" s="75" t="e">
        <f>'[2]7.Komunikácie'!#REF!</f>
        <v>#REF!</v>
      </c>
      <c r="P82" s="214">
        <v>39318.660000000003</v>
      </c>
      <c r="Q82" s="217">
        <v>39318.660000000003</v>
      </c>
      <c r="R82" s="217">
        <v>0</v>
      </c>
      <c r="S82" s="218">
        <v>0</v>
      </c>
      <c r="T82" s="76">
        <f t="shared" si="39"/>
        <v>79000</v>
      </c>
      <c r="U82" s="73">
        <f>'[2]7.Komunikácie'!$H$21</f>
        <v>79000</v>
      </c>
      <c r="V82" s="73">
        <f>'[2]7.Komunikácie'!$I$21</f>
        <v>0</v>
      </c>
      <c r="W82" s="75">
        <f>'[2]7.Komunikácie'!$J$21</f>
        <v>0</v>
      </c>
    </row>
    <row r="83" spans="2:23" ht="15.75" x14ac:dyDescent="0.25">
      <c r="B83" s="70">
        <v>4</v>
      </c>
      <c r="C83" s="84" t="s">
        <v>248</v>
      </c>
      <c r="D83" s="72" t="e">
        <f t="shared" si="36"/>
        <v>#REF!</v>
      </c>
      <c r="E83" s="73">
        <v>9452</v>
      </c>
      <c r="F83" s="73" t="e">
        <f>'[2]7.Komunikácie'!#REF!</f>
        <v>#REF!</v>
      </c>
      <c r="G83" s="74" t="e">
        <f>'[2]7.Komunikácie'!#REF!</f>
        <v>#REF!</v>
      </c>
      <c r="H83" s="72">
        <f t="shared" si="37"/>
        <v>9930</v>
      </c>
      <c r="I83" s="73">
        <v>9930</v>
      </c>
      <c r="J83" s="73">
        <v>0</v>
      </c>
      <c r="K83" s="73">
        <v>0</v>
      </c>
      <c r="L83" s="76" t="e">
        <f t="shared" si="38"/>
        <v>#REF!</v>
      </c>
      <c r="M83" s="73" t="e">
        <f>'[2]7.Komunikácie'!#REF!</f>
        <v>#REF!</v>
      </c>
      <c r="N83" s="73" t="e">
        <f>'[2]7.Komunikácie'!#REF!</f>
        <v>#REF!</v>
      </c>
      <c r="O83" s="75" t="e">
        <f>'[2]7.Komunikácie'!#REF!</f>
        <v>#REF!</v>
      </c>
      <c r="P83" s="214">
        <v>22614.04</v>
      </c>
      <c r="Q83" s="217">
        <v>22614.04</v>
      </c>
      <c r="R83" s="217">
        <v>0</v>
      </c>
      <c r="S83" s="218">
        <v>0</v>
      </c>
      <c r="T83" s="76">
        <f t="shared" si="39"/>
        <v>82000</v>
      </c>
      <c r="U83" s="73">
        <f>'[2]7.Komunikácie'!$H$24</f>
        <v>82000</v>
      </c>
      <c r="V83" s="73">
        <f>'[2]7.Komunikácie'!$I$24</f>
        <v>0</v>
      </c>
      <c r="W83" s="75">
        <f>'[2]7.Komunikácie'!$J$24</f>
        <v>0</v>
      </c>
    </row>
    <row r="84" spans="2:23" ht="15.75" x14ac:dyDescent="0.25">
      <c r="B84" s="70">
        <v>5</v>
      </c>
      <c r="C84" s="84" t="s">
        <v>249</v>
      </c>
      <c r="D84" s="72" t="e">
        <f t="shared" si="36"/>
        <v>#REF!</v>
      </c>
      <c r="E84" s="73">
        <v>97309</v>
      </c>
      <c r="F84" s="73" t="e">
        <f>'[2]7.Komunikácie'!#REF!</f>
        <v>#REF!</v>
      </c>
      <c r="G84" s="74" t="e">
        <f>'[2]7.Komunikácie'!#REF!</f>
        <v>#REF!</v>
      </c>
      <c r="H84" s="72">
        <f t="shared" si="37"/>
        <v>92824</v>
      </c>
      <c r="I84" s="73">
        <v>92824</v>
      </c>
      <c r="J84" s="73">
        <v>0</v>
      </c>
      <c r="K84" s="73">
        <v>0</v>
      </c>
      <c r="L84" s="76" t="e">
        <f t="shared" si="38"/>
        <v>#REF!</v>
      </c>
      <c r="M84" s="73" t="e">
        <f>'[2]7.Komunikácie'!#REF!</f>
        <v>#REF!</v>
      </c>
      <c r="N84" s="73" t="e">
        <f>'[2]7.Komunikácie'!#REF!</f>
        <v>#REF!</v>
      </c>
      <c r="O84" s="75" t="e">
        <f>'[2]7.Komunikácie'!#REF!</f>
        <v>#REF!</v>
      </c>
      <c r="P84" s="214">
        <v>83569.850000000006</v>
      </c>
      <c r="Q84" s="217">
        <v>83569.850000000006</v>
      </c>
      <c r="R84" s="217">
        <v>0</v>
      </c>
      <c r="S84" s="218">
        <v>0</v>
      </c>
      <c r="T84" s="76">
        <f t="shared" si="39"/>
        <v>96150</v>
      </c>
      <c r="U84" s="73">
        <f>'[2]7.Komunikácie'!$H$27</f>
        <v>96150</v>
      </c>
      <c r="V84" s="73">
        <f>'[2]7.Komunikácie'!$I$27</f>
        <v>0</v>
      </c>
      <c r="W84" s="75">
        <f>'[2]7.Komunikácie'!$J$27</f>
        <v>0</v>
      </c>
    </row>
    <row r="85" spans="2:23" ht="15.75" x14ac:dyDescent="0.25">
      <c r="B85" s="70">
        <v>5</v>
      </c>
      <c r="C85" s="84" t="s">
        <v>250</v>
      </c>
      <c r="D85" s="72" t="e">
        <f t="shared" si="36"/>
        <v>#REF!</v>
      </c>
      <c r="E85" s="73">
        <v>6126</v>
      </c>
      <c r="F85" s="73" t="e">
        <f>'[2]7.Komunikácie'!#REF!</f>
        <v>#REF!</v>
      </c>
      <c r="G85" s="74" t="e">
        <f>'[2]7.Komunikácie'!#REF!</f>
        <v>#REF!</v>
      </c>
      <c r="H85" s="72">
        <f t="shared" si="37"/>
        <v>13937</v>
      </c>
      <c r="I85" s="73">
        <v>13937</v>
      </c>
      <c r="J85" s="73">
        <v>0</v>
      </c>
      <c r="K85" s="73">
        <v>0</v>
      </c>
      <c r="L85" s="76" t="e">
        <f t="shared" si="38"/>
        <v>#REF!</v>
      </c>
      <c r="M85" s="73">
        <v>17005</v>
      </c>
      <c r="N85" s="73" t="e">
        <f>'[2]7.Komunikácie'!#REF!</f>
        <v>#REF!</v>
      </c>
      <c r="O85" s="75" t="e">
        <f>'[2]7.Komunikácie'!#REF!</f>
        <v>#REF!</v>
      </c>
      <c r="P85" s="214">
        <v>6134.4</v>
      </c>
      <c r="Q85" s="217">
        <v>6134.4</v>
      </c>
      <c r="R85" s="217">
        <v>0</v>
      </c>
      <c r="S85" s="218">
        <v>0</v>
      </c>
      <c r="T85" s="76">
        <f t="shared" si="39"/>
        <v>10350</v>
      </c>
      <c r="U85" s="73">
        <f>'[2]7.Komunikácie'!$H$31</f>
        <v>10350</v>
      </c>
      <c r="V85" s="73">
        <f>'[2]7.Komunikácie'!$I$31</f>
        <v>0</v>
      </c>
      <c r="W85" s="75">
        <f>'[2]7.Komunikácie'!$J$31</f>
        <v>0</v>
      </c>
    </row>
    <row r="86" spans="2:23" ht="16.5" x14ac:dyDescent="0.3">
      <c r="B86" s="70">
        <v>6</v>
      </c>
      <c r="C86" s="92" t="s">
        <v>251</v>
      </c>
      <c r="D86" s="72" t="e">
        <f t="shared" si="36"/>
        <v>#REF!</v>
      </c>
      <c r="E86" s="73">
        <v>3949</v>
      </c>
      <c r="F86" s="73" t="e">
        <f>'[2]7.Komunikácie'!#REF!</f>
        <v>#REF!</v>
      </c>
      <c r="G86" s="74" t="e">
        <f>'[2]7.Komunikácie'!#REF!</f>
        <v>#REF!</v>
      </c>
      <c r="H86" s="72">
        <f t="shared" si="37"/>
        <v>334</v>
      </c>
      <c r="I86" s="73">
        <v>334</v>
      </c>
      <c r="J86" s="73">
        <v>0</v>
      </c>
      <c r="K86" s="73">
        <v>0</v>
      </c>
      <c r="L86" s="76" t="e">
        <f t="shared" si="38"/>
        <v>#REF!</v>
      </c>
      <c r="M86" s="73">
        <v>6240</v>
      </c>
      <c r="N86" s="73" t="e">
        <f>'[2]7.Komunikácie'!#REF!</f>
        <v>#REF!</v>
      </c>
      <c r="O86" s="75" t="e">
        <f>'[2]7.Komunikácie'!#REF!</f>
        <v>#REF!</v>
      </c>
      <c r="P86" s="214">
        <v>10760.44</v>
      </c>
      <c r="Q86" s="217">
        <v>10760.44</v>
      </c>
      <c r="R86" s="217">
        <v>0</v>
      </c>
      <c r="S86" s="218">
        <v>0</v>
      </c>
      <c r="T86" s="76">
        <f t="shared" si="39"/>
        <v>10000</v>
      </c>
      <c r="U86" s="73">
        <f>'[2]7.Komunikácie'!$H$35</f>
        <v>10000</v>
      </c>
      <c r="V86" s="73">
        <f>'[2]7.Komunikácie'!$I$35</f>
        <v>0</v>
      </c>
      <c r="W86" s="75">
        <f>'[2]7.Komunikácie'!$J$35</f>
        <v>0</v>
      </c>
    </row>
    <row r="87" spans="2:23" ht="15.75" x14ac:dyDescent="0.25">
      <c r="B87" s="193" t="s">
        <v>252</v>
      </c>
      <c r="C87" s="184" t="s">
        <v>253</v>
      </c>
      <c r="D87" s="171" t="e">
        <f t="shared" ref="D87:W87" si="40">SUM(D88:D89)</f>
        <v>#REF!</v>
      </c>
      <c r="E87" s="172" t="e">
        <f t="shared" si="40"/>
        <v>#REF!</v>
      </c>
      <c r="F87" s="172" t="e">
        <f t="shared" si="40"/>
        <v>#REF!</v>
      </c>
      <c r="G87" s="173" t="e">
        <f t="shared" si="40"/>
        <v>#REF!</v>
      </c>
      <c r="H87" s="171" t="e">
        <f t="shared" si="40"/>
        <v>#REF!</v>
      </c>
      <c r="I87" s="172" t="e">
        <f t="shared" si="40"/>
        <v>#REF!</v>
      </c>
      <c r="J87" s="172" t="e">
        <f t="shared" si="40"/>
        <v>#REF!</v>
      </c>
      <c r="K87" s="174" t="e">
        <f t="shared" si="40"/>
        <v>#REF!</v>
      </c>
      <c r="L87" s="175" t="e">
        <f t="shared" si="40"/>
        <v>#REF!</v>
      </c>
      <c r="M87" s="172" t="e">
        <f t="shared" si="40"/>
        <v>#REF!</v>
      </c>
      <c r="N87" s="172" t="e">
        <f t="shared" si="40"/>
        <v>#REF!</v>
      </c>
      <c r="O87" s="174" t="e">
        <f t="shared" si="40"/>
        <v>#REF!</v>
      </c>
      <c r="P87" s="214">
        <v>0</v>
      </c>
      <c r="Q87" s="215">
        <v>0</v>
      </c>
      <c r="R87" s="215">
        <v>0</v>
      </c>
      <c r="S87" s="216">
        <v>0</v>
      </c>
      <c r="T87" s="175">
        <f t="shared" si="40"/>
        <v>129000</v>
      </c>
      <c r="U87" s="172">
        <f t="shared" si="40"/>
        <v>9000</v>
      </c>
      <c r="V87" s="172">
        <f t="shared" si="40"/>
        <v>120000</v>
      </c>
      <c r="W87" s="174">
        <f t="shared" si="40"/>
        <v>0</v>
      </c>
    </row>
    <row r="88" spans="2:23" ht="15.75" x14ac:dyDescent="0.25">
      <c r="B88" s="70">
        <v>1</v>
      </c>
      <c r="C88" s="84" t="s">
        <v>254</v>
      </c>
      <c r="D88" s="72" t="e">
        <f>SUM(E88:G88)</f>
        <v>#REF!</v>
      </c>
      <c r="E88" s="73" t="e">
        <f>'[2]7.Komunikácie'!#REF!</f>
        <v>#REF!</v>
      </c>
      <c r="F88" s="73">
        <v>68101</v>
      </c>
      <c r="G88" s="74" t="e">
        <f>'[2]7.Komunikácie'!#REF!</f>
        <v>#REF!</v>
      </c>
      <c r="H88" s="72" t="e">
        <f>SUM(I88:K88)</f>
        <v>#REF!</v>
      </c>
      <c r="I88" s="73" t="e">
        <f>'[2]7.Komunikácie'!#REF!</f>
        <v>#REF!</v>
      </c>
      <c r="J88" s="73" t="e">
        <f>'[2]7.Komunikácie'!#REF!</f>
        <v>#REF!</v>
      </c>
      <c r="K88" s="75" t="e">
        <f>'[2]7.Komunikácie'!#REF!</f>
        <v>#REF!</v>
      </c>
      <c r="L88" s="76" t="e">
        <f>SUM(M88:O88)</f>
        <v>#REF!</v>
      </c>
      <c r="M88" s="73" t="e">
        <f>'[2]7.Komunikácie'!#REF!</f>
        <v>#REF!</v>
      </c>
      <c r="N88" s="73" t="e">
        <f>'[2]7.Komunikácie'!#REF!</f>
        <v>#REF!</v>
      </c>
      <c r="O88" s="75" t="e">
        <f>'[2]7.Komunikácie'!#REF!</f>
        <v>#REF!</v>
      </c>
      <c r="P88" s="214">
        <v>0</v>
      </c>
      <c r="Q88" s="234">
        <v>0</v>
      </c>
      <c r="R88" s="234">
        <v>0</v>
      </c>
      <c r="S88" s="235">
        <v>0</v>
      </c>
      <c r="T88" s="76">
        <f>SUM(U88:W88)</f>
        <v>120000</v>
      </c>
      <c r="U88" s="73">
        <f>'[2]7.Komunikácie'!$H$39</f>
        <v>0</v>
      </c>
      <c r="V88" s="73">
        <f>'[2]7.Komunikácie'!$I$39</f>
        <v>120000</v>
      </c>
      <c r="W88" s="75">
        <f>'[2]7.Komunikácie'!$J$39</f>
        <v>0</v>
      </c>
    </row>
    <row r="89" spans="2:23" ht="15.75" x14ac:dyDescent="0.25">
      <c r="B89" s="70">
        <v>2</v>
      </c>
      <c r="C89" s="84" t="s">
        <v>255</v>
      </c>
      <c r="D89" s="72" t="e">
        <f>SUM(E89:G89)</f>
        <v>#REF!</v>
      </c>
      <c r="E89" s="73">
        <v>0</v>
      </c>
      <c r="F89" s="73" t="e">
        <f>'[2]7.Komunikácie'!#REF!</f>
        <v>#REF!</v>
      </c>
      <c r="G89" s="74" t="e">
        <f>'[2]7.Komunikácie'!#REF!</f>
        <v>#REF!</v>
      </c>
      <c r="H89" s="72" t="e">
        <f>SUM(I89:K89)</f>
        <v>#REF!</v>
      </c>
      <c r="I89" s="73" t="e">
        <f>'[2]7.Komunikácie'!#REF!</f>
        <v>#REF!</v>
      </c>
      <c r="J89" s="73" t="e">
        <f>'[2]7.Komunikácie'!#REF!</f>
        <v>#REF!</v>
      </c>
      <c r="K89" s="75" t="e">
        <f>'[2]7.Komunikácie'!#REF!</f>
        <v>#REF!</v>
      </c>
      <c r="L89" s="76" t="e">
        <f>SUM(M89:O89)</f>
        <v>#REF!</v>
      </c>
      <c r="M89" s="73">
        <v>8150</v>
      </c>
      <c r="N89" s="73" t="e">
        <f>'[2]7.Komunikácie'!#REF!</f>
        <v>#REF!</v>
      </c>
      <c r="O89" s="75" t="e">
        <f>'[2]7.Komunikácie'!#REF!</f>
        <v>#REF!</v>
      </c>
      <c r="P89" s="214">
        <v>0</v>
      </c>
      <c r="Q89" s="234">
        <v>0</v>
      </c>
      <c r="R89" s="234">
        <v>0</v>
      </c>
      <c r="S89" s="235">
        <v>0</v>
      </c>
      <c r="T89" s="76">
        <f>SUM(U89:W89)</f>
        <v>9000</v>
      </c>
      <c r="U89" s="73">
        <f>'[2]7.Komunikácie'!$H$41</f>
        <v>9000</v>
      </c>
      <c r="V89" s="73">
        <f>'[2]7.Komunikácie'!$I$41</f>
        <v>0</v>
      </c>
      <c r="W89" s="75">
        <f>'[2]7.Komunikácie'!$J$41</f>
        <v>0</v>
      </c>
    </row>
    <row r="90" spans="2:23" ht="15.75" x14ac:dyDescent="0.25">
      <c r="B90" s="193" t="s">
        <v>256</v>
      </c>
      <c r="C90" s="184" t="s">
        <v>257</v>
      </c>
      <c r="D90" s="171" t="e">
        <f t="shared" ref="D90:W90" si="41">SUM(D91:D92)</f>
        <v>#REF!</v>
      </c>
      <c r="E90" s="172" t="e">
        <f t="shared" si="41"/>
        <v>#REF!</v>
      </c>
      <c r="F90" s="172" t="e">
        <f t="shared" si="41"/>
        <v>#REF!</v>
      </c>
      <c r="G90" s="173" t="e">
        <f t="shared" si="41"/>
        <v>#REF!</v>
      </c>
      <c r="H90" s="171" t="e">
        <f t="shared" si="41"/>
        <v>#REF!</v>
      </c>
      <c r="I90" s="172" t="e">
        <f t="shared" si="41"/>
        <v>#REF!</v>
      </c>
      <c r="J90" s="172" t="e">
        <f t="shared" si="41"/>
        <v>#REF!</v>
      </c>
      <c r="K90" s="174" t="e">
        <f t="shared" si="41"/>
        <v>#REF!</v>
      </c>
      <c r="L90" s="175" t="e">
        <f t="shared" si="41"/>
        <v>#REF!</v>
      </c>
      <c r="M90" s="172" t="e">
        <f t="shared" si="41"/>
        <v>#REF!</v>
      </c>
      <c r="N90" s="172" t="e">
        <f t="shared" si="41"/>
        <v>#REF!</v>
      </c>
      <c r="O90" s="174" t="e">
        <f t="shared" si="41"/>
        <v>#REF!</v>
      </c>
      <c r="P90" s="214">
        <v>0</v>
      </c>
      <c r="Q90" s="215">
        <v>0</v>
      </c>
      <c r="R90" s="215">
        <v>0</v>
      </c>
      <c r="S90" s="216">
        <v>0</v>
      </c>
      <c r="T90" s="175">
        <f t="shared" si="41"/>
        <v>0</v>
      </c>
      <c r="U90" s="172">
        <f t="shared" si="41"/>
        <v>0</v>
      </c>
      <c r="V90" s="172">
        <f t="shared" si="41"/>
        <v>0</v>
      </c>
      <c r="W90" s="174">
        <f t="shared" si="41"/>
        <v>0</v>
      </c>
    </row>
    <row r="91" spans="2:23" ht="15.75" x14ac:dyDescent="0.25">
      <c r="B91" s="70">
        <v>1</v>
      </c>
      <c r="C91" s="84" t="s">
        <v>258</v>
      </c>
      <c r="D91" s="72" t="e">
        <f>SUM(E91:G91)</f>
        <v>#REF!</v>
      </c>
      <c r="E91" s="73" t="e">
        <f>'[2]7.Komunikácie'!#REF!</f>
        <v>#REF!</v>
      </c>
      <c r="F91" s="73" t="e">
        <f>'[2]7.Komunikácie'!#REF!</f>
        <v>#REF!</v>
      </c>
      <c r="G91" s="74" t="e">
        <f>'[2]7.Komunikácie'!#REF!</f>
        <v>#REF!</v>
      </c>
      <c r="H91" s="72" t="e">
        <f>SUM(I91:K91)</f>
        <v>#REF!</v>
      </c>
      <c r="I91" s="73" t="e">
        <f>'[2]7.Komunikácie'!#REF!</f>
        <v>#REF!</v>
      </c>
      <c r="J91" s="73" t="e">
        <f>'[2]7.Komunikácie'!#REF!</f>
        <v>#REF!</v>
      </c>
      <c r="K91" s="75" t="e">
        <f>'[2]7.Komunikácie'!#REF!</f>
        <v>#REF!</v>
      </c>
      <c r="L91" s="76" t="e">
        <f>SUM(M91:O91)</f>
        <v>#REF!</v>
      </c>
      <c r="M91" s="73" t="e">
        <f>'[2]7.Komunikácie'!#REF!</f>
        <v>#REF!</v>
      </c>
      <c r="N91" s="73" t="e">
        <f>'[2]7.Komunikácie'!#REF!</f>
        <v>#REF!</v>
      </c>
      <c r="O91" s="75" t="e">
        <f>'[2]7.Komunikácie'!#REF!</f>
        <v>#REF!</v>
      </c>
      <c r="P91" s="214">
        <v>0</v>
      </c>
      <c r="Q91" s="217">
        <v>0</v>
      </c>
      <c r="R91" s="217">
        <v>0</v>
      </c>
      <c r="S91" s="218">
        <v>0</v>
      </c>
      <c r="T91" s="76">
        <f>SUM(U91:W91)</f>
        <v>0</v>
      </c>
      <c r="U91" s="73">
        <f>'[2]7.Komunikácie'!$H$44</f>
        <v>0</v>
      </c>
      <c r="V91" s="73">
        <f>'[2]7.Komunikácie'!$I$44</f>
        <v>0</v>
      </c>
      <c r="W91" s="75">
        <f>'[2]7.Komunikácie'!$J$44</f>
        <v>0</v>
      </c>
    </row>
    <row r="92" spans="2:23" ht="16.5" thickBot="1" x14ac:dyDescent="0.3">
      <c r="B92" s="78">
        <v>2</v>
      </c>
      <c r="C92" s="87" t="s">
        <v>259</v>
      </c>
      <c r="D92" s="79" t="e">
        <f>SUM(E92:G92)</f>
        <v>#REF!</v>
      </c>
      <c r="E92" s="80">
        <v>366</v>
      </c>
      <c r="F92" s="80" t="e">
        <f>'[2]7.Komunikácie'!#REF!</f>
        <v>#REF!</v>
      </c>
      <c r="G92" s="81" t="e">
        <f>'[2]7.Komunikácie'!#REF!</f>
        <v>#REF!</v>
      </c>
      <c r="H92" s="88" t="e">
        <f>SUM(I92:K92)</f>
        <v>#REF!</v>
      </c>
      <c r="I92" s="82" t="e">
        <f>'[2]7.Komunikácie'!#REF!</f>
        <v>#REF!</v>
      </c>
      <c r="J92" s="82" t="e">
        <f>'[2]7.Komunikácie'!#REF!</f>
        <v>#REF!</v>
      </c>
      <c r="K92" s="83" t="e">
        <f>'[2]7.Komunikácie'!#REF!</f>
        <v>#REF!</v>
      </c>
      <c r="L92" s="89" t="e">
        <f>SUM(M92:O92)</f>
        <v>#REF!</v>
      </c>
      <c r="M92" s="80" t="e">
        <f>'[2]7.Komunikácie'!#REF!</f>
        <v>#REF!</v>
      </c>
      <c r="N92" s="80" t="e">
        <f>'[2]7.Komunikácie'!#REF!</f>
        <v>#REF!</v>
      </c>
      <c r="O92" s="90" t="e">
        <f>'[2]7.Komunikácie'!#REF!</f>
        <v>#REF!</v>
      </c>
      <c r="P92" s="224">
        <v>0</v>
      </c>
      <c r="Q92" s="232">
        <v>0</v>
      </c>
      <c r="R92" s="232">
        <v>0</v>
      </c>
      <c r="S92" s="233">
        <v>0</v>
      </c>
      <c r="T92" s="89">
        <f>SUM(U92:W92)</f>
        <v>0</v>
      </c>
      <c r="U92" s="80">
        <f>'[2]7.Komunikácie'!$H$47</f>
        <v>0</v>
      </c>
      <c r="V92" s="80">
        <f>'[2]7.Komunikácie'!$I$47</f>
        <v>0</v>
      </c>
      <c r="W92" s="90">
        <f>'[2]7.Komunikácie'!$J$47</f>
        <v>0</v>
      </c>
    </row>
    <row r="93" spans="2:23" s="63" customFormat="1" ht="14.25" x14ac:dyDescent="0.2">
      <c r="B93" s="154" t="s">
        <v>260</v>
      </c>
      <c r="C93" s="155"/>
      <c r="D93" s="149" t="e">
        <f t="shared" ref="D93:W93" si="42">D94+D95</f>
        <v>#REF!</v>
      </c>
      <c r="E93" s="150">
        <f t="shared" si="42"/>
        <v>47735</v>
      </c>
      <c r="F93" s="150" t="e">
        <f t="shared" si="42"/>
        <v>#REF!</v>
      </c>
      <c r="G93" s="151" t="e">
        <f t="shared" si="42"/>
        <v>#REF!</v>
      </c>
      <c r="H93" s="149">
        <f t="shared" si="42"/>
        <v>69510</v>
      </c>
      <c r="I93" s="150">
        <f t="shared" si="42"/>
        <v>69510</v>
      </c>
      <c r="J93" s="150">
        <f t="shared" si="42"/>
        <v>0</v>
      </c>
      <c r="K93" s="152">
        <f t="shared" si="42"/>
        <v>0</v>
      </c>
      <c r="L93" s="153" t="e">
        <f t="shared" si="42"/>
        <v>#REF!</v>
      </c>
      <c r="M93" s="150" t="e">
        <f t="shared" si="42"/>
        <v>#REF!</v>
      </c>
      <c r="N93" s="150" t="e">
        <f t="shared" si="42"/>
        <v>#REF!</v>
      </c>
      <c r="O93" s="152" t="e">
        <f t="shared" si="42"/>
        <v>#REF!</v>
      </c>
      <c r="P93" s="222">
        <v>65435.19</v>
      </c>
      <c r="Q93" s="223">
        <v>65435.19</v>
      </c>
      <c r="R93" s="223">
        <v>0</v>
      </c>
      <c r="S93" s="227">
        <v>0</v>
      </c>
      <c r="T93" s="153">
        <f t="shared" si="42"/>
        <v>73850</v>
      </c>
      <c r="U93" s="150">
        <f t="shared" si="42"/>
        <v>73850</v>
      </c>
      <c r="V93" s="150">
        <f t="shared" si="42"/>
        <v>0</v>
      </c>
      <c r="W93" s="152">
        <f t="shared" si="42"/>
        <v>0</v>
      </c>
    </row>
    <row r="94" spans="2:23" ht="16.5" x14ac:dyDescent="0.3">
      <c r="B94" s="193" t="s">
        <v>261</v>
      </c>
      <c r="C94" s="189" t="s">
        <v>262</v>
      </c>
      <c r="D94" s="171" t="e">
        <f>SUM(E94:G94)</f>
        <v>#REF!</v>
      </c>
      <c r="E94" s="172">
        <v>47475</v>
      </c>
      <c r="F94" s="172" t="e">
        <f>'[2]8.Doprava'!#REF!</f>
        <v>#REF!</v>
      </c>
      <c r="G94" s="173" t="e">
        <f>'[2]8.Doprava'!#REF!</f>
        <v>#REF!</v>
      </c>
      <c r="H94" s="171">
        <f>SUM(I94:K94)</f>
        <v>69510</v>
      </c>
      <c r="I94" s="172">
        <v>69510</v>
      </c>
      <c r="J94" s="172">
        <v>0</v>
      </c>
      <c r="K94" s="174">
        <v>0</v>
      </c>
      <c r="L94" s="175" t="e">
        <f>SUM(M94:O94)</f>
        <v>#REF!</v>
      </c>
      <c r="M94" s="172" t="e">
        <f>'[2]8.Doprava'!#REF!</f>
        <v>#REF!</v>
      </c>
      <c r="N94" s="172" t="e">
        <f>'[2]8.Doprava'!#REF!</f>
        <v>#REF!</v>
      </c>
      <c r="O94" s="174" t="e">
        <f>'[2]8.Doprava'!#REF!</f>
        <v>#REF!</v>
      </c>
      <c r="P94" s="214">
        <v>65435.19</v>
      </c>
      <c r="Q94" s="215">
        <v>65435.19</v>
      </c>
      <c r="R94" s="215">
        <v>0</v>
      </c>
      <c r="S94" s="216">
        <v>0</v>
      </c>
      <c r="T94" s="175">
        <f>SUM(U94:W94)</f>
        <v>71000</v>
      </c>
      <c r="U94" s="172">
        <f>'[2]8.Doprava'!$H$4</f>
        <v>71000</v>
      </c>
      <c r="V94" s="172">
        <f>'[2]8.Doprava'!$I$4</f>
        <v>0</v>
      </c>
      <c r="W94" s="174">
        <f>'[2]8.Doprava'!$J$4</f>
        <v>0</v>
      </c>
    </row>
    <row r="95" spans="2:23" ht="15.75" x14ac:dyDescent="0.25">
      <c r="B95" s="193" t="s">
        <v>263</v>
      </c>
      <c r="C95" s="184" t="s">
        <v>264</v>
      </c>
      <c r="D95" s="171" t="e">
        <f>SUM(D96:D96)</f>
        <v>#REF!</v>
      </c>
      <c r="E95" s="172">
        <f>SUM(E96:E96)</f>
        <v>260</v>
      </c>
      <c r="F95" s="172" t="e">
        <f>SUM(F96:F96)</f>
        <v>#REF!</v>
      </c>
      <c r="G95" s="173" t="e">
        <f>SUM(G96:G96)</f>
        <v>#REF!</v>
      </c>
      <c r="H95" s="171">
        <f t="shared" ref="H95:W95" si="43">SUM(H96)</f>
        <v>0</v>
      </c>
      <c r="I95" s="172">
        <f t="shared" si="43"/>
        <v>0</v>
      </c>
      <c r="J95" s="172">
        <f t="shared" si="43"/>
        <v>0</v>
      </c>
      <c r="K95" s="174">
        <f t="shared" si="43"/>
        <v>0</v>
      </c>
      <c r="L95" s="175" t="e">
        <f>SUM(M95:O95)</f>
        <v>#REF!</v>
      </c>
      <c r="M95" s="172" t="e">
        <f t="shared" si="43"/>
        <v>#REF!</v>
      </c>
      <c r="N95" s="172" t="e">
        <f t="shared" si="43"/>
        <v>#REF!</v>
      </c>
      <c r="O95" s="174" t="e">
        <f t="shared" si="43"/>
        <v>#REF!</v>
      </c>
      <c r="P95" s="214">
        <v>0</v>
      </c>
      <c r="Q95" s="215">
        <v>0</v>
      </c>
      <c r="R95" s="215">
        <v>0</v>
      </c>
      <c r="S95" s="216">
        <v>0</v>
      </c>
      <c r="T95" s="175">
        <f t="shared" si="43"/>
        <v>2850</v>
      </c>
      <c r="U95" s="172">
        <f t="shared" si="43"/>
        <v>2850</v>
      </c>
      <c r="V95" s="172">
        <f t="shared" si="43"/>
        <v>0</v>
      </c>
      <c r="W95" s="174">
        <f t="shared" si="43"/>
        <v>0</v>
      </c>
    </row>
    <row r="96" spans="2:23" ht="16.5" thickBot="1" x14ac:dyDescent="0.3">
      <c r="B96" s="78">
        <v>1</v>
      </c>
      <c r="C96" s="87" t="s">
        <v>265</v>
      </c>
      <c r="D96" s="79" t="e">
        <f>SUM(E96:G96)</f>
        <v>#REF!</v>
      </c>
      <c r="E96" s="80">
        <v>260</v>
      </c>
      <c r="F96" s="80" t="e">
        <f>'[2]8.Doprava'!#REF!</f>
        <v>#REF!</v>
      </c>
      <c r="G96" s="81" t="e">
        <f>'[2]8.Doprava'!#REF!</f>
        <v>#REF!</v>
      </c>
      <c r="H96" s="88">
        <f>SUM(I96:K96)</f>
        <v>0</v>
      </c>
      <c r="I96" s="82">
        <v>0</v>
      </c>
      <c r="J96" s="82">
        <v>0</v>
      </c>
      <c r="K96" s="83">
        <v>0</v>
      </c>
      <c r="L96" s="89" t="e">
        <f>SUM(M96:O96)</f>
        <v>#REF!</v>
      </c>
      <c r="M96" s="80" t="e">
        <f>'[2]8.Doprava'!#REF!</f>
        <v>#REF!</v>
      </c>
      <c r="N96" s="80" t="e">
        <f>'[2]8.Doprava'!#REF!</f>
        <v>#REF!</v>
      </c>
      <c r="O96" s="90" t="e">
        <f>'[2]8.Doprava'!#REF!</f>
        <v>#REF!</v>
      </c>
      <c r="P96" s="224">
        <v>0</v>
      </c>
      <c r="Q96" s="232">
        <v>0</v>
      </c>
      <c r="R96" s="232">
        <v>0</v>
      </c>
      <c r="S96" s="233">
        <v>0</v>
      </c>
      <c r="T96" s="89">
        <f>SUM(U96:W96)</f>
        <v>2850</v>
      </c>
      <c r="U96" s="80">
        <f>'[2]8.Doprava'!$H$7</f>
        <v>2850</v>
      </c>
      <c r="V96" s="80">
        <f>'[2]8.Doprava'!$I$7</f>
        <v>0</v>
      </c>
      <c r="W96" s="90">
        <f>'[2]8.Doprava'!$J$7</f>
        <v>0</v>
      </c>
    </row>
    <row r="97" spans="1:23" s="63" customFormat="1" ht="14.25" x14ac:dyDescent="0.2">
      <c r="B97" s="154" t="s">
        <v>266</v>
      </c>
      <c r="C97" s="155"/>
      <c r="D97" s="149" t="e">
        <f t="shared" ref="D97:W97" si="44">D98+D99+D107+D114+D117+D118+D119</f>
        <v>#REF!</v>
      </c>
      <c r="E97" s="150" t="e">
        <f t="shared" si="44"/>
        <v>#REF!</v>
      </c>
      <c r="F97" s="150" t="e">
        <f t="shared" si="44"/>
        <v>#REF!</v>
      </c>
      <c r="G97" s="151" t="e">
        <f t="shared" si="44"/>
        <v>#REF!</v>
      </c>
      <c r="H97" s="149">
        <f t="shared" si="44"/>
        <v>5702025.9800000004</v>
      </c>
      <c r="I97" s="150">
        <f t="shared" si="44"/>
        <v>5290112.9800000004</v>
      </c>
      <c r="J97" s="150">
        <f t="shared" si="44"/>
        <v>411913</v>
      </c>
      <c r="K97" s="152">
        <f t="shared" si="44"/>
        <v>0</v>
      </c>
      <c r="L97" s="153" t="e">
        <f t="shared" si="44"/>
        <v>#REF!</v>
      </c>
      <c r="M97" s="150" t="e">
        <f t="shared" si="44"/>
        <v>#REF!</v>
      </c>
      <c r="N97" s="150" t="e">
        <f t="shared" si="44"/>
        <v>#REF!</v>
      </c>
      <c r="O97" s="152" t="e">
        <f t="shared" si="44"/>
        <v>#REF!</v>
      </c>
      <c r="P97" s="222">
        <v>5603561.3399999999</v>
      </c>
      <c r="Q97" s="223">
        <v>5352051.54</v>
      </c>
      <c r="R97" s="223">
        <v>19924.32</v>
      </c>
      <c r="S97" s="227">
        <v>231585.48</v>
      </c>
      <c r="T97" s="153" t="e">
        <f t="shared" si="44"/>
        <v>#REF!</v>
      </c>
      <c r="U97" s="150" t="e">
        <f t="shared" si="44"/>
        <v>#REF!</v>
      </c>
      <c r="V97" s="150" t="e">
        <f t="shared" si="44"/>
        <v>#REF!</v>
      </c>
      <c r="W97" s="152" t="e">
        <f t="shared" si="44"/>
        <v>#REF!</v>
      </c>
    </row>
    <row r="98" spans="1:23" ht="16.5" x14ac:dyDescent="0.3">
      <c r="B98" s="193" t="s">
        <v>267</v>
      </c>
      <c r="C98" s="189" t="s">
        <v>268</v>
      </c>
      <c r="D98" s="171" t="e">
        <f>SUM(E98:G98)</f>
        <v>#REF!</v>
      </c>
      <c r="E98" s="172">
        <v>38985</v>
      </c>
      <c r="F98" s="172" t="e">
        <f>'[2]9. Vzdelávanie'!#REF!</f>
        <v>#REF!</v>
      </c>
      <c r="G98" s="173" t="e">
        <f>'[2]9. Vzdelávanie'!#REF!</f>
        <v>#REF!</v>
      </c>
      <c r="H98" s="171">
        <f>SUM(I98:K98)</f>
        <v>63657</v>
      </c>
      <c r="I98" s="172">
        <v>63657</v>
      </c>
      <c r="J98" s="172">
        <v>0</v>
      </c>
      <c r="K98" s="174">
        <v>0</v>
      </c>
      <c r="L98" s="175" t="e">
        <f>SUM(M98:O98)</f>
        <v>#REF!</v>
      </c>
      <c r="M98" s="172" t="e">
        <f>'[2]9. Vzdelávanie'!#REF!</f>
        <v>#REF!</v>
      </c>
      <c r="N98" s="172" t="e">
        <f>'[2]9. Vzdelávanie'!#REF!</f>
        <v>#REF!</v>
      </c>
      <c r="O98" s="174" t="e">
        <f>'[2]9. Vzdelávanie'!#REF!</f>
        <v>#REF!</v>
      </c>
      <c r="P98" s="214">
        <v>2198.3000000000002</v>
      </c>
      <c r="Q98" s="215">
        <v>2198.3000000000002</v>
      </c>
      <c r="R98" s="215">
        <v>0</v>
      </c>
      <c r="S98" s="216">
        <v>0</v>
      </c>
      <c r="T98" s="175">
        <f>SUM(U98:W98)</f>
        <v>4292</v>
      </c>
      <c r="U98" s="172">
        <f>'[2]9. Vzdelávanie'!$H$4</f>
        <v>4292</v>
      </c>
      <c r="V98" s="172">
        <f>'[2]9. Vzdelávanie'!$I$4</f>
        <v>0</v>
      </c>
      <c r="W98" s="174">
        <f>'[2]9. Vzdelávanie'!$J$4</f>
        <v>0</v>
      </c>
    </row>
    <row r="99" spans="1:23" ht="15.75" x14ac:dyDescent="0.25">
      <c r="B99" s="193" t="s">
        <v>269</v>
      </c>
      <c r="C99" s="184" t="s">
        <v>270</v>
      </c>
      <c r="D99" s="171" t="e">
        <f t="shared" ref="D99:W99" si="45">SUM(D100:D106)</f>
        <v>#REF!</v>
      </c>
      <c r="E99" s="172" t="e">
        <f t="shared" si="45"/>
        <v>#REF!</v>
      </c>
      <c r="F99" s="172" t="e">
        <f t="shared" si="45"/>
        <v>#REF!</v>
      </c>
      <c r="G99" s="173" t="e">
        <f t="shared" si="45"/>
        <v>#REF!</v>
      </c>
      <c r="H99" s="171">
        <f t="shared" si="45"/>
        <v>1549169</v>
      </c>
      <c r="I99" s="172">
        <f t="shared" si="45"/>
        <v>1139518</v>
      </c>
      <c r="J99" s="172">
        <f t="shared" si="45"/>
        <v>409651</v>
      </c>
      <c r="K99" s="174">
        <f t="shared" si="45"/>
        <v>0</v>
      </c>
      <c r="L99" s="175" t="e">
        <f t="shared" si="45"/>
        <v>#REF!</v>
      </c>
      <c r="M99" s="172" t="e">
        <f t="shared" si="45"/>
        <v>#REF!</v>
      </c>
      <c r="N99" s="172" t="e">
        <f t="shared" si="45"/>
        <v>#REF!</v>
      </c>
      <c r="O99" s="174" t="e">
        <f t="shared" si="45"/>
        <v>#REF!</v>
      </c>
      <c r="P99" s="214">
        <v>1169183</v>
      </c>
      <c r="Q99" s="215">
        <v>1169183</v>
      </c>
      <c r="R99" s="215">
        <v>0</v>
      </c>
      <c r="S99" s="216">
        <v>0</v>
      </c>
      <c r="T99" s="175" t="e">
        <f t="shared" si="45"/>
        <v>#REF!</v>
      </c>
      <c r="U99" s="172" t="e">
        <f t="shared" si="45"/>
        <v>#REF!</v>
      </c>
      <c r="V99" s="172" t="e">
        <f t="shared" si="45"/>
        <v>#REF!</v>
      </c>
      <c r="W99" s="174" t="e">
        <f t="shared" si="45"/>
        <v>#REF!</v>
      </c>
    </row>
    <row r="100" spans="1:23" ht="15.75" x14ac:dyDescent="0.25">
      <c r="B100" s="70">
        <v>1</v>
      </c>
      <c r="C100" s="84" t="s">
        <v>271</v>
      </c>
      <c r="D100" s="72" t="e">
        <f t="shared" ref="D100:D106" si="46">SUM(E100:G100)</f>
        <v>#REF!</v>
      </c>
      <c r="E100" s="73">
        <v>134470</v>
      </c>
      <c r="F100" s="73" t="e">
        <f>'[2]9. Vzdelávanie'!#REF!</f>
        <v>#REF!</v>
      </c>
      <c r="G100" s="74" t="e">
        <f>'[2]9. Vzdelávanie'!#REF!</f>
        <v>#REF!</v>
      </c>
      <c r="H100" s="72">
        <f t="shared" ref="H100:H106" si="47">SUM(I100:K100)</f>
        <v>137478</v>
      </c>
      <c r="I100" s="73">
        <v>137478</v>
      </c>
      <c r="J100" s="75">
        <v>0</v>
      </c>
      <c r="K100" s="75">
        <v>0</v>
      </c>
      <c r="L100" s="76" t="e">
        <f t="shared" ref="L100:L106" si="48">SUM(M100:O100)</f>
        <v>#REF!</v>
      </c>
      <c r="M100" s="73" t="e">
        <f>'[2]9. Vzdelávanie'!#REF!</f>
        <v>#REF!</v>
      </c>
      <c r="N100" s="73" t="e">
        <f>'[2]9. Vzdelávanie'!#REF!</f>
        <v>#REF!</v>
      </c>
      <c r="O100" s="75" t="e">
        <f>'[2]9. Vzdelávanie'!#REF!</f>
        <v>#REF!</v>
      </c>
      <c r="P100" s="214">
        <v>135961</v>
      </c>
      <c r="Q100" s="217">
        <v>135961</v>
      </c>
      <c r="R100" s="217">
        <v>0</v>
      </c>
      <c r="S100" s="218">
        <v>0</v>
      </c>
      <c r="T100" s="76" t="e">
        <f t="shared" ref="T100:T106" si="49">SUM(U100:W100)</f>
        <v>#REF!</v>
      </c>
      <c r="U100" s="73">
        <f>'[3]9. Vzdelávanie'!$Q$9</f>
        <v>1431</v>
      </c>
      <c r="V100" s="73" t="e">
        <f>'[2]9. Vzdelávanie'!$I$33</f>
        <v>#REF!</v>
      </c>
      <c r="W100" s="75" t="e">
        <f>'[2]9. Vzdelávanie'!$J$33</f>
        <v>#REF!</v>
      </c>
    </row>
    <row r="101" spans="1:23" ht="15.75" x14ac:dyDescent="0.25">
      <c r="B101" s="70">
        <v>2</v>
      </c>
      <c r="C101" s="84" t="s">
        <v>272</v>
      </c>
      <c r="D101" s="72" t="e">
        <f t="shared" si="46"/>
        <v>#REF!</v>
      </c>
      <c r="E101" s="73">
        <v>244187</v>
      </c>
      <c r="F101" s="73" t="e">
        <f>'[2]9. Vzdelávanie'!#REF!</f>
        <v>#REF!</v>
      </c>
      <c r="G101" s="74" t="e">
        <f>'[2]9. Vzdelávanie'!#REF!</f>
        <v>#REF!</v>
      </c>
      <c r="H101" s="72">
        <f t="shared" si="47"/>
        <v>263081</v>
      </c>
      <c r="I101" s="73">
        <v>263081</v>
      </c>
      <c r="J101" s="75">
        <v>0</v>
      </c>
      <c r="K101" s="75">
        <v>0</v>
      </c>
      <c r="L101" s="76" t="e">
        <f t="shared" si="48"/>
        <v>#REF!</v>
      </c>
      <c r="M101" s="73" t="e">
        <f>'[2]9. Vzdelávanie'!#REF!</f>
        <v>#REF!</v>
      </c>
      <c r="N101" s="73" t="e">
        <f>'[2]9. Vzdelávanie'!#REF!</f>
        <v>#REF!</v>
      </c>
      <c r="O101" s="75" t="e">
        <f>'[2]9. Vzdelávanie'!#REF!</f>
        <v>#REF!</v>
      </c>
      <c r="P101" s="214">
        <v>272978</v>
      </c>
      <c r="Q101" s="217">
        <v>272978</v>
      </c>
      <c r="R101" s="217">
        <v>0</v>
      </c>
      <c r="S101" s="218">
        <v>0</v>
      </c>
      <c r="T101" s="76" t="e">
        <f t="shared" si="49"/>
        <v>#REF!</v>
      </c>
      <c r="U101" s="73">
        <f>'[3]9. Vzdelávanie'!$Q$18</f>
        <v>1479615</v>
      </c>
      <c r="V101" s="73" t="e">
        <f>'[2]9. Vzdelávanie'!$I$34</f>
        <v>#REF!</v>
      </c>
      <c r="W101" s="75" t="e">
        <f>'[2]9. Vzdelávanie'!$J$34</f>
        <v>#REF!</v>
      </c>
    </row>
    <row r="102" spans="1:23" ht="15.75" x14ac:dyDescent="0.25">
      <c r="B102" s="70">
        <v>3</v>
      </c>
      <c r="C102" s="84" t="s">
        <v>273</v>
      </c>
      <c r="D102" s="72" t="e">
        <f t="shared" si="46"/>
        <v>#REF!</v>
      </c>
      <c r="E102" s="73">
        <v>250400</v>
      </c>
      <c r="F102" s="73">
        <v>194592</v>
      </c>
      <c r="G102" s="74" t="e">
        <f>'[2]9. Vzdelávanie'!#REF!</f>
        <v>#REF!</v>
      </c>
      <c r="H102" s="72">
        <f t="shared" si="47"/>
        <v>687716</v>
      </c>
      <c r="I102" s="73">
        <v>278065</v>
      </c>
      <c r="J102" s="73">
        <v>409651</v>
      </c>
      <c r="K102" s="75">
        <v>0</v>
      </c>
      <c r="L102" s="76" t="e">
        <f t="shared" si="48"/>
        <v>#REF!</v>
      </c>
      <c r="M102" s="73" t="e">
        <f>'[2]9. Vzdelávanie'!#REF!</f>
        <v>#REF!</v>
      </c>
      <c r="N102" s="73" t="e">
        <f>'[2]9. Vzdelávanie'!#REF!</f>
        <v>#REF!</v>
      </c>
      <c r="O102" s="75" t="e">
        <f>'[2]9. Vzdelávanie'!#REF!</f>
        <v>#REF!</v>
      </c>
      <c r="P102" s="214">
        <v>284315</v>
      </c>
      <c r="Q102" s="217">
        <v>284315</v>
      </c>
      <c r="R102" s="217">
        <v>0</v>
      </c>
      <c r="S102" s="218">
        <v>0</v>
      </c>
      <c r="T102" s="76">
        <f t="shared" si="49"/>
        <v>147030</v>
      </c>
      <c r="U102" s="73">
        <f>'[3]9. Vzdelávanie'!$Q$19</f>
        <v>147030</v>
      </c>
      <c r="V102" s="73">
        <f>'[2]9. Vzdelávanie'!$I$35</f>
        <v>0</v>
      </c>
      <c r="W102" s="75">
        <f>'[2]9. Vzdelávanie'!$J$35</f>
        <v>0</v>
      </c>
    </row>
    <row r="103" spans="1:23" ht="15.75" x14ac:dyDescent="0.25">
      <c r="A103" s="53"/>
      <c r="B103" s="70">
        <v>4</v>
      </c>
      <c r="C103" s="84" t="s">
        <v>274</v>
      </c>
      <c r="D103" s="72" t="e">
        <f t="shared" si="46"/>
        <v>#REF!</v>
      </c>
      <c r="E103" s="73" t="e">
        <f>'[2]9. Vzdelávanie'!#REF!</f>
        <v>#REF!</v>
      </c>
      <c r="F103" s="73" t="e">
        <f>'[2]9. Vzdelávanie'!#REF!</f>
        <v>#REF!</v>
      </c>
      <c r="G103" s="74" t="e">
        <f>'[2]9. Vzdelávanie'!#REF!</f>
        <v>#REF!</v>
      </c>
      <c r="H103" s="72">
        <f t="shared" si="47"/>
        <v>0</v>
      </c>
      <c r="I103" s="73">
        <v>0</v>
      </c>
      <c r="J103" s="75">
        <v>0</v>
      </c>
      <c r="K103" s="75">
        <v>0</v>
      </c>
      <c r="L103" s="76" t="e">
        <f t="shared" si="48"/>
        <v>#REF!</v>
      </c>
      <c r="M103" s="73" t="e">
        <f>'[2]9. Vzdelávanie'!#REF!</f>
        <v>#REF!</v>
      </c>
      <c r="N103" s="73" t="e">
        <f>'[2]9. Vzdelávanie'!#REF!</f>
        <v>#REF!</v>
      </c>
      <c r="O103" s="75" t="e">
        <f>'[2]9. Vzdelávanie'!#REF!</f>
        <v>#REF!</v>
      </c>
      <c r="P103" s="214">
        <v>0</v>
      </c>
      <c r="Q103" s="217">
        <v>0</v>
      </c>
      <c r="R103" s="217">
        <v>0</v>
      </c>
      <c r="S103" s="218">
        <v>0</v>
      </c>
      <c r="T103" s="76" t="e">
        <f t="shared" si="49"/>
        <v>#REF!</v>
      </c>
      <c r="U103" s="73">
        <f>'[2]9. Vzdelávanie'!$H$38</f>
        <v>0</v>
      </c>
      <c r="V103" s="73">
        <f>'[2]9. Vzdelávanie'!$I$38</f>
        <v>0</v>
      </c>
      <c r="W103" s="75" t="e">
        <f>'[2]9. Vzdelávanie'!$J$38</f>
        <v>#REF!</v>
      </c>
    </row>
    <row r="104" spans="1:23" ht="15.75" x14ac:dyDescent="0.25">
      <c r="B104" s="70">
        <v>5</v>
      </c>
      <c r="C104" s="84" t="s">
        <v>275</v>
      </c>
      <c r="D104" s="72" t="e">
        <f t="shared" si="46"/>
        <v>#REF!</v>
      </c>
      <c r="E104" s="73">
        <v>153560</v>
      </c>
      <c r="F104" s="73" t="e">
        <f>'[2]9. Vzdelávanie'!#REF!</f>
        <v>#REF!</v>
      </c>
      <c r="G104" s="74" t="e">
        <f>'[2]9. Vzdelávanie'!#REF!</f>
        <v>#REF!</v>
      </c>
      <c r="H104" s="72">
        <f t="shared" si="47"/>
        <v>169278</v>
      </c>
      <c r="I104" s="73">
        <v>169278</v>
      </c>
      <c r="J104" s="75">
        <v>0</v>
      </c>
      <c r="K104" s="75">
        <v>0</v>
      </c>
      <c r="L104" s="76" t="e">
        <f t="shared" si="48"/>
        <v>#REF!</v>
      </c>
      <c r="M104" s="73" t="e">
        <f>'[2]9. Vzdelávanie'!#REF!</f>
        <v>#REF!</v>
      </c>
      <c r="N104" s="73" t="e">
        <f>'[2]9. Vzdelávanie'!#REF!</f>
        <v>#REF!</v>
      </c>
      <c r="O104" s="75" t="e">
        <f>'[2]9. Vzdelávanie'!#REF!</f>
        <v>#REF!</v>
      </c>
      <c r="P104" s="214">
        <v>179348</v>
      </c>
      <c r="Q104" s="217">
        <v>179348</v>
      </c>
      <c r="R104" s="217">
        <v>0</v>
      </c>
      <c r="S104" s="218">
        <v>0</v>
      </c>
      <c r="T104" s="76" t="e">
        <f t="shared" si="49"/>
        <v>#REF!</v>
      </c>
      <c r="U104" s="73" t="e">
        <f>'[3]9. Vzdelávanie'!#REF!</f>
        <v>#REF!</v>
      </c>
      <c r="V104" s="73" t="e">
        <f>'[2]9. Vzdelávanie'!$I$39</f>
        <v>#REF!</v>
      </c>
      <c r="W104" s="75" t="e">
        <f>'[2]9. Vzdelávanie'!$J$39</f>
        <v>#REF!</v>
      </c>
    </row>
    <row r="105" spans="1:23" ht="15.75" x14ac:dyDescent="0.25">
      <c r="B105" s="70">
        <v>6</v>
      </c>
      <c r="C105" s="84" t="s">
        <v>276</v>
      </c>
      <c r="D105" s="72" t="e">
        <f t="shared" si="46"/>
        <v>#REF!</v>
      </c>
      <c r="E105" s="73">
        <v>172477</v>
      </c>
      <c r="F105" s="73">
        <v>183944</v>
      </c>
      <c r="G105" s="74" t="e">
        <f>'[2]9. Vzdelávanie'!#REF!</f>
        <v>#REF!</v>
      </c>
      <c r="H105" s="72">
        <f t="shared" si="47"/>
        <v>169490</v>
      </c>
      <c r="I105" s="73">
        <v>169490</v>
      </c>
      <c r="J105" s="75">
        <v>0</v>
      </c>
      <c r="K105" s="75">
        <v>0</v>
      </c>
      <c r="L105" s="76" t="e">
        <f t="shared" si="48"/>
        <v>#REF!</v>
      </c>
      <c r="M105" s="73" t="e">
        <f>'[2]9. Vzdelávanie'!#REF!</f>
        <v>#REF!</v>
      </c>
      <c r="N105" s="73" t="e">
        <f>'[2]9. Vzdelávanie'!#REF!</f>
        <v>#REF!</v>
      </c>
      <c r="O105" s="75" t="e">
        <f>'[2]9. Vzdelávanie'!#REF!</f>
        <v>#REF!</v>
      </c>
      <c r="P105" s="214">
        <v>169555</v>
      </c>
      <c r="Q105" s="217">
        <v>169555</v>
      </c>
      <c r="R105" s="217">
        <v>0</v>
      </c>
      <c r="S105" s="218">
        <v>0</v>
      </c>
      <c r="T105" s="76">
        <f t="shared" si="49"/>
        <v>84028</v>
      </c>
      <c r="U105" s="73">
        <f>'[3]9. Vzdelávanie'!$Q$22</f>
        <v>84028</v>
      </c>
      <c r="V105" s="73">
        <f>'[2]9. Vzdelávanie'!$I$40</f>
        <v>0</v>
      </c>
      <c r="W105" s="75">
        <f>'[2]9. Vzdelávanie'!$J$40</f>
        <v>0</v>
      </c>
    </row>
    <row r="106" spans="1:23" ht="15.75" x14ac:dyDescent="0.25">
      <c r="B106" s="70">
        <v>7</v>
      </c>
      <c r="C106" s="84" t="s">
        <v>277</v>
      </c>
      <c r="D106" s="72" t="e">
        <f t="shared" si="46"/>
        <v>#REF!</v>
      </c>
      <c r="E106" s="73">
        <v>128501</v>
      </c>
      <c r="F106" s="73"/>
      <c r="G106" s="74" t="e">
        <f>'[2]9. Vzdelávanie'!#REF!</f>
        <v>#REF!</v>
      </c>
      <c r="H106" s="72">
        <f t="shared" si="47"/>
        <v>122126</v>
      </c>
      <c r="I106" s="73">
        <v>122126</v>
      </c>
      <c r="J106" s="75">
        <v>0</v>
      </c>
      <c r="K106" s="75">
        <v>0</v>
      </c>
      <c r="L106" s="76" t="e">
        <f t="shared" si="48"/>
        <v>#REF!</v>
      </c>
      <c r="M106" s="73" t="e">
        <f>'[2]9. Vzdelávanie'!#REF!</f>
        <v>#REF!</v>
      </c>
      <c r="N106" s="73" t="e">
        <f>'[2]9. Vzdelávanie'!#REF!</f>
        <v>#REF!</v>
      </c>
      <c r="O106" s="75" t="e">
        <f>'[2]9. Vzdelávanie'!#REF!</f>
        <v>#REF!</v>
      </c>
      <c r="P106" s="214">
        <v>127026</v>
      </c>
      <c r="Q106" s="217">
        <v>127026</v>
      </c>
      <c r="R106" s="217">
        <v>0</v>
      </c>
      <c r="S106" s="218">
        <v>0</v>
      </c>
      <c r="T106" s="76" t="e">
        <f t="shared" si="49"/>
        <v>#REF!</v>
      </c>
      <c r="U106" s="73" t="e">
        <f>'[3]9. Vzdelávanie'!#REF!</f>
        <v>#REF!</v>
      </c>
      <c r="V106" s="73" t="e">
        <f>'[2]9. Vzdelávanie'!$I$43</f>
        <v>#REF!</v>
      </c>
      <c r="W106" s="75" t="e">
        <f>'[2]9. Vzdelávanie'!$J$43</f>
        <v>#REF!</v>
      </c>
    </row>
    <row r="107" spans="1:23" ht="15.75" x14ac:dyDescent="0.25">
      <c r="B107" s="193" t="s">
        <v>278</v>
      </c>
      <c r="C107" s="184" t="s">
        <v>279</v>
      </c>
      <c r="D107" s="171" t="e">
        <f t="shared" ref="D107:W107" si="50">SUM(D108:D113)</f>
        <v>#REF!</v>
      </c>
      <c r="E107" s="172">
        <f t="shared" si="50"/>
        <v>3234702</v>
      </c>
      <c r="F107" s="172" t="e">
        <f t="shared" si="50"/>
        <v>#REF!</v>
      </c>
      <c r="G107" s="173" t="e">
        <f t="shared" si="50"/>
        <v>#REF!</v>
      </c>
      <c r="H107" s="171">
        <f t="shared" si="50"/>
        <v>3200175</v>
      </c>
      <c r="I107" s="172">
        <f t="shared" si="50"/>
        <v>3198395</v>
      </c>
      <c r="J107" s="172">
        <f t="shared" si="50"/>
        <v>1780</v>
      </c>
      <c r="K107" s="174">
        <f t="shared" si="50"/>
        <v>0</v>
      </c>
      <c r="L107" s="175" t="e">
        <f t="shared" si="50"/>
        <v>#REF!</v>
      </c>
      <c r="M107" s="172" t="e">
        <f t="shared" si="50"/>
        <v>#REF!</v>
      </c>
      <c r="N107" s="172" t="e">
        <f t="shared" si="50"/>
        <v>#REF!</v>
      </c>
      <c r="O107" s="174" t="e">
        <f t="shared" si="50"/>
        <v>#REF!</v>
      </c>
      <c r="P107" s="214">
        <v>3506810.61</v>
      </c>
      <c r="Q107" s="215">
        <v>3255300.81</v>
      </c>
      <c r="R107" s="215">
        <v>19924.32</v>
      </c>
      <c r="S107" s="216">
        <v>231585.48</v>
      </c>
      <c r="T107" s="175" t="e">
        <f t="shared" si="50"/>
        <v>#REF!</v>
      </c>
      <c r="U107" s="172">
        <f t="shared" si="50"/>
        <v>5061640</v>
      </c>
      <c r="V107" s="172" t="e">
        <f t="shared" si="50"/>
        <v>#REF!</v>
      </c>
      <c r="W107" s="174" t="e">
        <f t="shared" si="50"/>
        <v>#REF!</v>
      </c>
    </row>
    <row r="108" spans="1:23" ht="15.75" x14ac:dyDescent="0.25">
      <c r="B108" s="70">
        <v>1</v>
      </c>
      <c r="C108" s="84" t="s">
        <v>280</v>
      </c>
      <c r="D108" s="72" t="e">
        <f t="shared" ref="D108:D113" si="51">SUM(E108:G108)</f>
        <v>#REF!</v>
      </c>
      <c r="E108" s="73">
        <v>328366</v>
      </c>
      <c r="F108" s="73" t="e">
        <f>'[2]9. Vzdelávanie'!#REF!</f>
        <v>#REF!</v>
      </c>
      <c r="G108" s="74" t="e">
        <f>'[2]9. Vzdelávanie'!#REF!</f>
        <v>#REF!</v>
      </c>
      <c r="H108" s="72">
        <f t="shared" ref="H108:H113" si="52">SUM(I108:K108)</f>
        <v>282825</v>
      </c>
      <c r="I108" s="73">
        <v>282825</v>
      </c>
      <c r="J108" s="75">
        <v>0</v>
      </c>
      <c r="K108" s="75">
        <v>0</v>
      </c>
      <c r="L108" s="76" t="e">
        <f t="shared" ref="L108:L113" si="53">SUM(M108:O108)</f>
        <v>#REF!</v>
      </c>
      <c r="M108" s="73" t="e">
        <f>'[2]9. Vzdelávanie'!#REF!</f>
        <v>#REF!</v>
      </c>
      <c r="N108" s="73" t="e">
        <f>'[2]9. Vzdelávanie'!#REF!</f>
        <v>#REF!</v>
      </c>
      <c r="O108" s="75" t="e">
        <f>'[2]9. Vzdelávanie'!#REF!</f>
        <v>#REF!</v>
      </c>
      <c r="P108" s="214">
        <v>282259</v>
      </c>
      <c r="Q108" s="217">
        <v>282259</v>
      </c>
      <c r="R108" s="217">
        <v>0</v>
      </c>
      <c r="S108" s="218">
        <v>0</v>
      </c>
      <c r="T108" s="76" t="e">
        <f t="shared" ref="T108:T113" si="54">SUM(U108:W108)</f>
        <v>#REF!</v>
      </c>
      <c r="U108" s="73">
        <f>'[3]9. Vzdelávanie'!$Q$25</f>
        <v>185514</v>
      </c>
      <c r="V108" s="73" t="e">
        <f>'[2]9. Vzdelávanie'!$I$46</f>
        <v>#REF!</v>
      </c>
      <c r="W108" s="75" t="e">
        <f>'[2]9. Vzdelávanie'!$J$46</f>
        <v>#REF!</v>
      </c>
    </row>
    <row r="109" spans="1:23" ht="15.75" x14ac:dyDescent="0.25">
      <c r="B109" s="70">
        <v>2</v>
      </c>
      <c r="C109" s="84" t="s">
        <v>281</v>
      </c>
      <c r="D109" s="72" t="e">
        <f t="shared" si="51"/>
        <v>#REF!</v>
      </c>
      <c r="E109" s="73">
        <v>570052</v>
      </c>
      <c r="F109" s="73">
        <v>69468</v>
      </c>
      <c r="G109" s="74" t="e">
        <f>'[2]9. Vzdelávanie'!#REF!</f>
        <v>#REF!</v>
      </c>
      <c r="H109" s="72">
        <f t="shared" si="52"/>
        <v>581965</v>
      </c>
      <c r="I109" s="73">
        <v>581965</v>
      </c>
      <c r="J109" s="75">
        <v>0</v>
      </c>
      <c r="K109" s="75">
        <v>0</v>
      </c>
      <c r="L109" s="76" t="e">
        <f t="shared" si="53"/>
        <v>#REF!</v>
      </c>
      <c r="M109" s="73" t="e">
        <f>'[2]9. Vzdelávanie'!#REF!</f>
        <v>#REF!</v>
      </c>
      <c r="N109" s="73" t="e">
        <f>'[2]9. Vzdelávanie'!#REF!</f>
        <v>#REF!</v>
      </c>
      <c r="O109" s="75" t="e">
        <f>'[2]9. Vzdelávanie'!#REF!</f>
        <v>#REF!</v>
      </c>
      <c r="P109" s="214">
        <v>546122</v>
      </c>
      <c r="Q109" s="217">
        <v>546122</v>
      </c>
      <c r="R109" s="217">
        <v>0</v>
      </c>
      <c r="S109" s="218">
        <v>0</v>
      </c>
      <c r="T109" s="76" t="e">
        <f t="shared" si="54"/>
        <v>#REF!</v>
      </c>
      <c r="U109" s="73">
        <f>'[3]9. Vzdelávanie'!$Q$26</f>
        <v>33520</v>
      </c>
      <c r="V109" s="73" t="e">
        <f>'[2]9. Vzdelávanie'!$I$47</f>
        <v>#REF!</v>
      </c>
      <c r="W109" s="75" t="e">
        <f>'[2]9. Vzdelávanie'!$J$47</f>
        <v>#REF!</v>
      </c>
    </row>
    <row r="110" spans="1:23" ht="15.75" x14ac:dyDescent="0.25">
      <c r="A110" s="85"/>
      <c r="B110" s="70">
        <v>3</v>
      </c>
      <c r="C110" s="84" t="s">
        <v>282</v>
      </c>
      <c r="D110" s="72" t="e">
        <f t="shared" si="51"/>
        <v>#REF!</v>
      </c>
      <c r="E110" s="73">
        <v>787656</v>
      </c>
      <c r="F110" s="73" t="e">
        <f>'[2]9. Vzdelávanie'!#REF!</f>
        <v>#REF!</v>
      </c>
      <c r="G110" s="74" t="e">
        <f>'[2]9. Vzdelávanie'!#REF!</f>
        <v>#REF!</v>
      </c>
      <c r="H110" s="72">
        <f t="shared" si="52"/>
        <v>851849</v>
      </c>
      <c r="I110" s="73">
        <v>851849</v>
      </c>
      <c r="J110" s="75">
        <v>0</v>
      </c>
      <c r="K110" s="75">
        <v>0</v>
      </c>
      <c r="L110" s="76" t="e">
        <f t="shared" si="53"/>
        <v>#REF!</v>
      </c>
      <c r="M110" s="73" t="e">
        <f>'[2]9. Vzdelávanie'!#REF!</f>
        <v>#REF!</v>
      </c>
      <c r="N110" s="73" t="e">
        <f>'[2]9. Vzdelávanie'!#REF!</f>
        <v>#REF!</v>
      </c>
      <c r="O110" s="75" t="e">
        <f>'[2]9. Vzdelávanie'!#REF!</f>
        <v>#REF!</v>
      </c>
      <c r="P110" s="214">
        <v>1151774.29</v>
      </c>
      <c r="Q110" s="217">
        <v>920188.81</v>
      </c>
      <c r="R110" s="217">
        <v>0</v>
      </c>
      <c r="S110" s="236">
        <v>231585.48</v>
      </c>
      <c r="T110" s="76">
        <f t="shared" si="54"/>
        <v>4018433</v>
      </c>
      <c r="U110" s="73">
        <f>'[3]9. Vzdelávanie'!$Q$27</f>
        <v>3786847</v>
      </c>
      <c r="V110" s="73">
        <f>'[2]9. Vzdelávanie'!$I$48</f>
        <v>0</v>
      </c>
      <c r="W110" s="75">
        <f>'[2]9. Vzdelávanie'!$J$48</f>
        <v>231586</v>
      </c>
    </row>
    <row r="111" spans="1:23" ht="15.75" x14ac:dyDescent="0.25">
      <c r="A111" s="85"/>
      <c r="B111" s="70">
        <v>4</v>
      </c>
      <c r="C111" s="84" t="s">
        <v>283</v>
      </c>
      <c r="D111" s="72" t="e">
        <f t="shared" si="51"/>
        <v>#REF!</v>
      </c>
      <c r="E111" s="73">
        <v>643464</v>
      </c>
      <c r="F111" s="73"/>
      <c r="G111" s="74" t="e">
        <f>'[2]9. Vzdelávanie'!#REF!</f>
        <v>#REF!</v>
      </c>
      <c r="H111" s="72">
        <f t="shared" si="52"/>
        <v>610772</v>
      </c>
      <c r="I111" s="73">
        <v>608992</v>
      </c>
      <c r="J111" s="73">
        <v>1780</v>
      </c>
      <c r="K111" s="75">
        <v>0</v>
      </c>
      <c r="L111" s="76" t="e">
        <f t="shared" si="53"/>
        <v>#REF!</v>
      </c>
      <c r="M111" s="73" t="e">
        <f>'[2]9. Vzdelávanie'!#REF!</f>
        <v>#REF!</v>
      </c>
      <c r="N111" s="73" t="e">
        <f>'[2]9. Vzdelávanie'!#REF!</f>
        <v>#REF!</v>
      </c>
      <c r="O111" s="75" t="e">
        <f>'[2]9. Vzdelávanie'!#REF!</f>
        <v>#REF!</v>
      </c>
      <c r="P111" s="214">
        <v>606541</v>
      </c>
      <c r="Q111" s="217">
        <v>606541</v>
      </c>
      <c r="R111" s="217">
        <v>0</v>
      </c>
      <c r="S111" s="218">
        <v>0</v>
      </c>
      <c r="T111" s="76" t="e">
        <f t="shared" si="54"/>
        <v>#REF!</v>
      </c>
      <c r="U111" s="73">
        <f>'[3]9. Vzdelávanie'!$Q$36</f>
        <v>0</v>
      </c>
      <c r="V111" s="73" t="e">
        <f>'[2]9. Vzdelávanie'!$I$53</f>
        <v>#REF!</v>
      </c>
      <c r="W111" s="75" t="e">
        <f>'[2]9. Vzdelávanie'!$J$53</f>
        <v>#REF!</v>
      </c>
    </row>
    <row r="112" spans="1:23" ht="15.75" x14ac:dyDescent="0.25">
      <c r="A112" s="85"/>
      <c r="B112" s="70">
        <v>5</v>
      </c>
      <c r="C112" s="84" t="s">
        <v>284</v>
      </c>
      <c r="D112" s="72" t="e">
        <f t="shared" si="51"/>
        <v>#REF!</v>
      </c>
      <c r="E112" s="73">
        <v>596449</v>
      </c>
      <c r="F112" s="73" t="e">
        <f>'[2]9. Vzdelávanie'!#REF!</f>
        <v>#REF!</v>
      </c>
      <c r="G112" s="74" t="e">
        <f>'[2]9. Vzdelávanie'!#REF!</f>
        <v>#REF!</v>
      </c>
      <c r="H112" s="72">
        <f t="shared" si="52"/>
        <v>554735</v>
      </c>
      <c r="I112" s="73">
        <v>554735</v>
      </c>
      <c r="J112" s="75">
        <v>0</v>
      </c>
      <c r="K112" s="75">
        <v>0</v>
      </c>
      <c r="L112" s="76" t="e">
        <f t="shared" si="53"/>
        <v>#REF!</v>
      </c>
      <c r="M112" s="73" t="e">
        <f>'[2]9. Vzdelávanie'!#REF!</f>
        <v>#REF!</v>
      </c>
      <c r="N112" s="73" t="e">
        <f>'[2]9. Vzdelávanie'!#REF!</f>
        <v>#REF!</v>
      </c>
      <c r="O112" s="75" t="e">
        <f>'[2]9. Vzdelávanie'!#REF!</f>
        <v>#REF!</v>
      </c>
      <c r="P112" s="214">
        <v>576050</v>
      </c>
      <c r="Q112" s="217">
        <v>576050</v>
      </c>
      <c r="R112" s="217">
        <v>0</v>
      </c>
      <c r="S112" s="218">
        <v>0</v>
      </c>
      <c r="T112" s="76" t="e">
        <f t="shared" si="54"/>
        <v>#REF!</v>
      </c>
      <c r="U112" s="73">
        <f>'[3]9. Vzdelávanie'!$Q$37</f>
        <v>1055759</v>
      </c>
      <c r="V112" s="73">
        <f>'[2]9. Vzdelávanie'!$I$54</f>
        <v>4320</v>
      </c>
      <c r="W112" s="75" t="e">
        <f>'[2]9. Vzdelávanie'!$J$54</f>
        <v>#REF!</v>
      </c>
    </row>
    <row r="113" spans="1:23" ht="15.75" x14ac:dyDescent="0.25">
      <c r="A113" s="85"/>
      <c r="B113" s="70">
        <v>6</v>
      </c>
      <c r="C113" s="84" t="s">
        <v>285</v>
      </c>
      <c r="D113" s="72" t="e">
        <f t="shared" si="51"/>
        <v>#REF!</v>
      </c>
      <c r="E113" s="73">
        <v>308715</v>
      </c>
      <c r="F113" s="73" t="e">
        <f>'[2]9. Vzdelávanie'!#REF!</f>
        <v>#REF!</v>
      </c>
      <c r="G113" s="74" t="e">
        <f>'[2]9. Vzdelávanie'!#REF!</f>
        <v>#REF!</v>
      </c>
      <c r="H113" s="72">
        <f t="shared" si="52"/>
        <v>318029</v>
      </c>
      <c r="I113" s="73">
        <v>318029</v>
      </c>
      <c r="J113" s="75">
        <v>0</v>
      </c>
      <c r="K113" s="75">
        <v>0</v>
      </c>
      <c r="L113" s="76" t="e">
        <f t="shared" si="53"/>
        <v>#REF!</v>
      </c>
      <c r="M113" s="73" t="e">
        <f>'[2]9. Vzdelávanie'!#REF!</f>
        <v>#REF!</v>
      </c>
      <c r="N113" s="73" t="e">
        <f>'[2]9. Vzdelávanie'!#REF!</f>
        <v>#REF!</v>
      </c>
      <c r="O113" s="75" t="e">
        <f>'[2]9. Vzdelávanie'!#REF!</f>
        <v>#REF!</v>
      </c>
      <c r="P113" s="214">
        <v>344064.32</v>
      </c>
      <c r="Q113" s="217">
        <v>324140</v>
      </c>
      <c r="R113" s="237">
        <v>19924.32</v>
      </c>
      <c r="S113" s="218">
        <v>0</v>
      </c>
      <c r="T113" s="76">
        <f t="shared" si="54"/>
        <v>0</v>
      </c>
      <c r="U113" s="73">
        <f>'[3]9. Vzdelávanie'!$Q$38</f>
        <v>0</v>
      </c>
      <c r="V113" s="73">
        <f>'[3]9. Vzdelávanie'!$R$38</f>
        <v>0</v>
      </c>
      <c r="W113" s="75">
        <f>'[2]9. Vzdelávanie'!$J$55</f>
        <v>0</v>
      </c>
    </row>
    <row r="114" spans="1:23" ht="15.75" x14ac:dyDescent="0.25">
      <c r="A114" s="85"/>
      <c r="B114" s="193" t="s">
        <v>286</v>
      </c>
      <c r="C114" s="184" t="s">
        <v>287</v>
      </c>
      <c r="D114" s="171" t="e">
        <f t="shared" ref="D114:W114" si="55">SUM(D115:D116)</f>
        <v>#REF!</v>
      </c>
      <c r="E114" s="172">
        <f t="shared" si="55"/>
        <v>546333</v>
      </c>
      <c r="F114" s="172" t="e">
        <f t="shared" si="55"/>
        <v>#REF!</v>
      </c>
      <c r="G114" s="173" t="e">
        <f t="shared" si="55"/>
        <v>#REF!</v>
      </c>
      <c r="H114" s="171">
        <f t="shared" si="55"/>
        <v>538949</v>
      </c>
      <c r="I114" s="172">
        <f t="shared" si="55"/>
        <v>538949</v>
      </c>
      <c r="J114" s="172">
        <f t="shared" si="55"/>
        <v>0</v>
      </c>
      <c r="K114" s="174">
        <f t="shared" si="55"/>
        <v>0</v>
      </c>
      <c r="L114" s="175" t="e">
        <f t="shared" si="55"/>
        <v>#REF!</v>
      </c>
      <c r="M114" s="172" t="e">
        <f t="shared" si="55"/>
        <v>#REF!</v>
      </c>
      <c r="N114" s="172" t="e">
        <f t="shared" si="55"/>
        <v>#REF!</v>
      </c>
      <c r="O114" s="174" t="e">
        <f t="shared" si="55"/>
        <v>#REF!</v>
      </c>
      <c r="P114" s="214">
        <v>566109</v>
      </c>
      <c r="Q114" s="215">
        <v>566109</v>
      </c>
      <c r="R114" s="215">
        <v>0</v>
      </c>
      <c r="S114" s="216">
        <v>0</v>
      </c>
      <c r="T114" s="175" t="e">
        <f t="shared" si="55"/>
        <v>#REF!</v>
      </c>
      <c r="U114" s="172" t="e">
        <f t="shared" si="55"/>
        <v>#REF!</v>
      </c>
      <c r="V114" s="172" t="e">
        <f t="shared" si="55"/>
        <v>#REF!</v>
      </c>
      <c r="W114" s="174" t="e">
        <f t="shared" si="55"/>
        <v>#REF!</v>
      </c>
    </row>
    <row r="115" spans="1:23" ht="15.75" x14ac:dyDescent="0.25">
      <c r="A115" s="85"/>
      <c r="B115" s="70">
        <v>1</v>
      </c>
      <c r="C115" s="84" t="s">
        <v>288</v>
      </c>
      <c r="D115" s="72" t="e">
        <f>SUM(E115:G115)</f>
        <v>#REF!</v>
      </c>
      <c r="E115" s="73">
        <v>317206</v>
      </c>
      <c r="F115" s="73" t="e">
        <f>'[2]9. Vzdelávanie'!#REF!</f>
        <v>#REF!</v>
      </c>
      <c r="G115" s="74" t="e">
        <f>'[2]9. Vzdelávanie'!#REF!</f>
        <v>#REF!</v>
      </c>
      <c r="H115" s="72">
        <f>SUM(I115:K115)</f>
        <v>300158</v>
      </c>
      <c r="I115" s="73">
        <v>300158</v>
      </c>
      <c r="J115" s="75">
        <v>0</v>
      </c>
      <c r="K115" s="75">
        <v>0</v>
      </c>
      <c r="L115" s="76" t="e">
        <f>SUM(M115:O115)</f>
        <v>#REF!</v>
      </c>
      <c r="M115" s="73" t="e">
        <f>'[2]9. Vzdelávanie'!#REF!</f>
        <v>#REF!</v>
      </c>
      <c r="N115" s="73" t="e">
        <f>'[2]9. Vzdelávanie'!#REF!</f>
        <v>#REF!</v>
      </c>
      <c r="O115" s="75" t="e">
        <f>'[2]9. Vzdelávanie'!#REF!</f>
        <v>#REF!</v>
      </c>
      <c r="P115" s="214">
        <v>318002</v>
      </c>
      <c r="Q115" s="217">
        <v>318002</v>
      </c>
      <c r="R115" s="217">
        <v>0</v>
      </c>
      <c r="S115" s="218">
        <v>0</v>
      </c>
      <c r="T115" s="76" t="e">
        <f>SUM(U115:W115)</f>
        <v>#REF!</v>
      </c>
      <c r="U115" s="73">
        <f>'[3]9. Vzdelávanie'!$Q$46</f>
        <v>403289</v>
      </c>
      <c r="V115" s="73" t="e">
        <f>'[2]9. Vzdelávanie'!$I$59</f>
        <v>#REF!</v>
      </c>
      <c r="W115" s="75" t="e">
        <f>'[2]9. Vzdelávanie'!$J$59</f>
        <v>#REF!</v>
      </c>
    </row>
    <row r="116" spans="1:23" ht="15.75" x14ac:dyDescent="0.25">
      <c r="A116" s="85"/>
      <c r="B116" s="70">
        <v>2</v>
      </c>
      <c r="C116" s="84" t="s">
        <v>289</v>
      </c>
      <c r="D116" s="72" t="e">
        <f>SUM(E116:G116)</f>
        <v>#REF!</v>
      </c>
      <c r="E116" s="73">
        <v>229127</v>
      </c>
      <c r="F116" s="73" t="e">
        <f>'[2]9. Vzdelávanie'!#REF!</f>
        <v>#REF!</v>
      </c>
      <c r="G116" s="74" t="e">
        <f>'[2]9. Vzdelávanie'!#REF!</f>
        <v>#REF!</v>
      </c>
      <c r="H116" s="72">
        <f>SUM(I116:K116)</f>
        <v>238791</v>
      </c>
      <c r="I116" s="73">
        <v>238791</v>
      </c>
      <c r="J116" s="75">
        <v>0</v>
      </c>
      <c r="K116" s="75">
        <v>0</v>
      </c>
      <c r="L116" s="76" t="e">
        <f>SUM(M116:O116)</f>
        <v>#REF!</v>
      </c>
      <c r="M116" s="73" t="e">
        <f>'[2]9. Vzdelávanie'!#REF!</f>
        <v>#REF!</v>
      </c>
      <c r="N116" s="73" t="e">
        <f>'[2]9. Vzdelávanie'!#REF!</f>
        <v>#REF!</v>
      </c>
      <c r="O116" s="75" t="e">
        <f>'[2]9. Vzdelávanie'!#REF!</f>
        <v>#REF!</v>
      </c>
      <c r="P116" s="214">
        <v>248107</v>
      </c>
      <c r="Q116" s="217">
        <v>248107</v>
      </c>
      <c r="R116" s="217">
        <v>0</v>
      </c>
      <c r="S116" s="218">
        <v>0</v>
      </c>
      <c r="T116" s="76" t="e">
        <f>SUM(U116:W116)</f>
        <v>#REF!</v>
      </c>
      <c r="U116" s="73" t="e">
        <f>'[3]9. Vzdelávanie'!#REF!</f>
        <v>#REF!</v>
      </c>
      <c r="V116" s="73" t="e">
        <f>'[2]9. Vzdelávanie'!$I$60</f>
        <v>#REF!</v>
      </c>
      <c r="W116" s="75" t="e">
        <f>'[2]9. Vzdelávanie'!$J$60</f>
        <v>#REF!</v>
      </c>
    </row>
    <row r="117" spans="1:23" ht="15.75" x14ac:dyDescent="0.25">
      <c r="A117" s="85"/>
      <c r="B117" s="197" t="s">
        <v>290</v>
      </c>
      <c r="C117" s="184" t="s">
        <v>291</v>
      </c>
      <c r="D117" s="171" t="e">
        <f>SUM(E117:G117)</f>
        <v>#REF!</v>
      </c>
      <c r="E117" s="172">
        <v>131871</v>
      </c>
      <c r="F117" s="172" t="e">
        <f>'[2]9. Vzdelávanie'!#REF!</f>
        <v>#REF!</v>
      </c>
      <c r="G117" s="173" t="e">
        <f>'[2]9. Vzdelávanie'!#REF!</f>
        <v>#REF!</v>
      </c>
      <c r="H117" s="171">
        <f>SUM(I117:K117)</f>
        <v>154105.49</v>
      </c>
      <c r="I117" s="172">
        <v>154105.49</v>
      </c>
      <c r="J117" s="172">
        <v>0</v>
      </c>
      <c r="K117" s="174">
        <v>0</v>
      </c>
      <c r="L117" s="175" t="e">
        <f>SUM(M117:O117)</f>
        <v>#REF!</v>
      </c>
      <c r="M117" s="172" t="e">
        <f>'[2]9. Vzdelávanie'!#REF!</f>
        <v>#REF!</v>
      </c>
      <c r="N117" s="172" t="e">
        <f>'[2]9. Vzdelávanie'!#REF!</f>
        <v>#REF!</v>
      </c>
      <c r="O117" s="174" t="e">
        <f>'[2]9. Vzdelávanie'!#REF!</f>
        <v>#REF!</v>
      </c>
      <c r="P117" s="214">
        <v>157758.09</v>
      </c>
      <c r="Q117" s="238">
        <v>157758.09</v>
      </c>
      <c r="R117" s="215">
        <v>0</v>
      </c>
      <c r="S117" s="216">
        <v>0</v>
      </c>
      <c r="T117" s="175">
        <f>SUM(U117:W117)</f>
        <v>212760</v>
      </c>
      <c r="U117" s="172">
        <f>'[2]9. Vzdelávanie'!$H$61</f>
        <v>212760</v>
      </c>
      <c r="V117" s="172">
        <f>'[2]9. Vzdelávanie'!$I$61</f>
        <v>0</v>
      </c>
      <c r="W117" s="174">
        <f>'[2]9. Vzdelávanie'!$J$61</f>
        <v>0</v>
      </c>
    </row>
    <row r="118" spans="1:23" ht="13.5" x14ac:dyDescent="0.25">
      <c r="A118" s="85"/>
      <c r="B118" s="197" t="s">
        <v>292</v>
      </c>
      <c r="C118" s="198" t="s">
        <v>293</v>
      </c>
      <c r="D118" s="171" t="e">
        <f>SUM(E118:G118)</f>
        <v>#REF!</v>
      </c>
      <c r="E118" s="172">
        <v>204439</v>
      </c>
      <c r="F118" s="172"/>
      <c r="G118" s="173" t="e">
        <f>'[2]9. Vzdelávanie'!#REF!</f>
        <v>#REF!</v>
      </c>
      <c r="H118" s="171">
        <f>SUM(I118:K118)</f>
        <v>195970.49</v>
      </c>
      <c r="I118" s="172">
        <v>195488.49</v>
      </c>
      <c r="J118" s="172">
        <v>482</v>
      </c>
      <c r="K118" s="174">
        <v>0</v>
      </c>
      <c r="L118" s="175" t="e">
        <f>SUM(M118:O118)</f>
        <v>#REF!</v>
      </c>
      <c r="M118" s="172" t="e">
        <f>'[2]9. Vzdelávanie'!#REF!</f>
        <v>#REF!</v>
      </c>
      <c r="N118" s="172" t="e">
        <f>'[2]9. Vzdelávanie'!#REF!</f>
        <v>#REF!</v>
      </c>
      <c r="O118" s="174" t="e">
        <f>'[2]9. Vzdelávanie'!#REF!</f>
        <v>#REF!</v>
      </c>
      <c r="P118" s="214">
        <v>201502.34</v>
      </c>
      <c r="Q118" s="238">
        <v>201502.34</v>
      </c>
      <c r="R118" s="215">
        <v>0</v>
      </c>
      <c r="S118" s="216">
        <v>0</v>
      </c>
      <c r="T118" s="175" t="e">
        <f>SUM(U118:W118)</f>
        <v>#REF!</v>
      </c>
      <c r="U118" s="172">
        <f>'[2]9. Vzdelávanie'!$H$72</f>
        <v>243590</v>
      </c>
      <c r="V118" s="172" t="e">
        <f>'[2]9. Vzdelávanie'!$I$72</f>
        <v>#REF!</v>
      </c>
      <c r="W118" s="174" t="e">
        <f>'[2]9. Vzdelávanie'!$J$72</f>
        <v>#REF!</v>
      </c>
    </row>
    <row r="119" spans="1:23" ht="14.25" thickBot="1" x14ac:dyDescent="0.3">
      <c r="A119" s="85"/>
      <c r="B119" s="199" t="s">
        <v>294</v>
      </c>
      <c r="C119" s="200" t="s">
        <v>295</v>
      </c>
      <c r="D119" s="178" t="e">
        <f>SUM(E119:G119)</f>
        <v>#REF!</v>
      </c>
      <c r="E119" s="179">
        <v>0</v>
      </c>
      <c r="F119" s="179" t="e">
        <f>'[2]9. Vzdelávanie'!#REF!</f>
        <v>#REF!</v>
      </c>
      <c r="G119" s="180" t="e">
        <f>'[2]9. Vzdelávanie'!#REF!</f>
        <v>#REF!</v>
      </c>
      <c r="H119" s="186">
        <v>0</v>
      </c>
      <c r="I119" s="181">
        <v>0</v>
      </c>
      <c r="J119" s="181">
        <v>0</v>
      </c>
      <c r="K119" s="182">
        <v>0</v>
      </c>
      <c r="L119" s="187" t="e">
        <f>SUM(M119:O119)</f>
        <v>#REF!</v>
      </c>
      <c r="M119" s="179" t="e">
        <f>'[2]9. Vzdelávanie'!#REF!</f>
        <v>#REF!</v>
      </c>
      <c r="N119" s="179" t="e">
        <f>'[2]9. Vzdelávanie'!#REF!</f>
        <v>#REF!</v>
      </c>
      <c r="O119" s="188" t="e">
        <f>'[2]9. Vzdelávanie'!#REF!</f>
        <v>#REF!</v>
      </c>
      <c r="P119" s="224">
        <v>0</v>
      </c>
      <c r="Q119" s="225">
        <v>0</v>
      </c>
      <c r="R119" s="225">
        <v>0</v>
      </c>
      <c r="S119" s="226">
        <v>0</v>
      </c>
      <c r="T119" s="175">
        <f>SUM(U119:W119)</f>
        <v>0</v>
      </c>
      <c r="U119" s="179">
        <f>'[2]9. Vzdelávanie'!$H$73</f>
        <v>0</v>
      </c>
      <c r="V119" s="179">
        <f>'[2]9. Vzdelávanie'!$I$73</f>
        <v>0</v>
      </c>
      <c r="W119" s="188">
        <f>'[2]9. Vzdelávanie'!$J$73</f>
        <v>0</v>
      </c>
    </row>
    <row r="120" spans="1:23" s="63" customFormat="1" ht="14.25" x14ac:dyDescent="0.2">
      <c r="A120" s="93"/>
      <c r="B120" s="154" t="s">
        <v>296</v>
      </c>
      <c r="C120" s="158"/>
      <c r="D120" s="149" t="e">
        <f t="shared" ref="D120:W120" si="56">D121+D122+D129</f>
        <v>#REF!</v>
      </c>
      <c r="E120" s="150">
        <f t="shared" si="56"/>
        <v>238491</v>
      </c>
      <c r="F120" s="150" t="e">
        <f t="shared" si="56"/>
        <v>#REF!</v>
      </c>
      <c r="G120" s="151" t="e">
        <f t="shared" si="56"/>
        <v>#REF!</v>
      </c>
      <c r="H120" s="149" t="e">
        <f t="shared" si="56"/>
        <v>#REF!</v>
      </c>
      <c r="I120" s="150">
        <f t="shared" si="56"/>
        <v>191345</v>
      </c>
      <c r="J120" s="150" t="e">
        <f t="shared" si="56"/>
        <v>#REF!</v>
      </c>
      <c r="K120" s="152">
        <f t="shared" si="56"/>
        <v>0</v>
      </c>
      <c r="L120" s="149" t="e">
        <f t="shared" si="56"/>
        <v>#REF!</v>
      </c>
      <c r="M120" s="150" t="e">
        <f t="shared" si="56"/>
        <v>#REF!</v>
      </c>
      <c r="N120" s="150" t="e">
        <f t="shared" si="56"/>
        <v>#REF!</v>
      </c>
      <c r="O120" s="152" t="e">
        <f t="shared" si="56"/>
        <v>#REF!</v>
      </c>
      <c r="P120" s="239">
        <v>773128.95</v>
      </c>
      <c r="Q120" s="223">
        <v>293226.87</v>
      </c>
      <c r="R120" s="223">
        <v>479902.08</v>
      </c>
      <c r="S120" s="227">
        <v>0</v>
      </c>
      <c r="T120" s="149" t="e">
        <f t="shared" si="56"/>
        <v>#REF!</v>
      </c>
      <c r="U120" s="150" t="e">
        <f t="shared" si="56"/>
        <v>#REF!</v>
      </c>
      <c r="V120" s="150" t="e">
        <f t="shared" si="56"/>
        <v>#REF!</v>
      </c>
      <c r="W120" s="152" t="e">
        <f t="shared" si="56"/>
        <v>#REF!</v>
      </c>
    </row>
    <row r="121" spans="1:23" ht="16.5" x14ac:dyDescent="0.3">
      <c r="B121" s="193" t="s">
        <v>297</v>
      </c>
      <c r="C121" s="189" t="s">
        <v>298</v>
      </c>
      <c r="D121" s="171" t="e">
        <f>SUM(E121:G121)</f>
        <v>#REF!</v>
      </c>
      <c r="E121" s="172">
        <v>1794</v>
      </c>
      <c r="F121" s="172" t="e">
        <f>'[2]10. Šport'!#REF!</f>
        <v>#REF!</v>
      </c>
      <c r="G121" s="173" t="e">
        <f>'[2]10. Šport'!#REF!</f>
        <v>#REF!</v>
      </c>
      <c r="H121" s="171">
        <f>SUM(I121:K121)</f>
        <v>456</v>
      </c>
      <c r="I121" s="172">
        <v>456</v>
      </c>
      <c r="J121" s="172">
        <v>0</v>
      </c>
      <c r="K121" s="174">
        <v>0</v>
      </c>
      <c r="L121" s="171" t="e">
        <f>SUM(M121:O121)</f>
        <v>#REF!</v>
      </c>
      <c r="M121" s="172" t="e">
        <f>'[2]10. Šport'!#REF!</f>
        <v>#REF!</v>
      </c>
      <c r="N121" s="172" t="e">
        <f>'[2]10. Šport'!#REF!</f>
        <v>#REF!</v>
      </c>
      <c r="O121" s="174" t="e">
        <f>'[2]10. Šport'!#REF!</f>
        <v>#REF!</v>
      </c>
      <c r="P121" s="240">
        <v>242.5</v>
      </c>
      <c r="Q121" s="215">
        <v>242.5</v>
      </c>
      <c r="R121" s="215">
        <v>0</v>
      </c>
      <c r="S121" s="216">
        <v>0</v>
      </c>
      <c r="T121" s="171">
        <f>SUM(U121:W121)</f>
        <v>500</v>
      </c>
      <c r="U121" s="172">
        <f>'[2]10. Šport'!$H$4</f>
        <v>500</v>
      </c>
      <c r="V121" s="172">
        <f>'[2]10. Šport'!$I$4</f>
        <v>0</v>
      </c>
      <c r="W121" s="174">
        <f>'[2]10. Šport'!$J$4</f>
        <v>0</v>
      </c>
    </row>
    <row r="122" spans="1:23" ht="15.75" x14ac:dyDescent="0.25">
      <c r="B122" s="193" t="s">
        <v>299</v>
      </c>
      <c r="C122" s="184" t="s">
        <v>300</v>
      </c>
      <c r="D122" s="171" t="e">
        <f t="shared" ref="D122:V122" si="57">SUM(D123:D127)</f>
        <v>#REF!</v>
      </c>
      <c r="E122" s="172">
        <f t="shared" si="57"/>
        <v>167023</v>
      </c>
      <c r="F122" s="172" t="e">
        <f t="shared" si="57"/>
        <v>#REF!</v>
      </c>
      <c r="G122" s="173" t="e">
        <f t="shared" si="57"/>
        <v>#REF!</v>
      </c>
      <c r="H122" s="171" t="e">
        <f t="shared" si="57"/>
        <v>#REF!</v>
      </c>
      <c r="I122" s="172">
        <f t="shared" si="57"/>
        <v>140889</v>
      </c>
      <c r="J122" s="172" t="e">
        <f t="shared" si="57"/>
        <v>#REF!</v>
      </c>
      <c r="K122" s="174">
        <f t="shared" si="57"/>
        <v>0</v>
      </c>
      <c r="L122" s="171" t="e">
        <f t="shared" si="57"/>
        <v>#REF!</v>
      </c>
      <c r="M122" s="172" t="e">
        <f t="shared" si="57"/>
        <v>#REF!</v>
      </c>
      <c r="N122" s="172" t="e">
        <f t="shared" si="57"/>
        <v>#REF!</v>
      </c>
      <c r="O122" s="174" t="e">
        <f t="shared" si="57"/>
        <v>#REF!</v>
      </c>
      <c r="P122" s="240">
        <v>722886.45</v>
      </c>
      <c r="Q122" s="215">
        <v>242984.37</v>
      </c>
      <c r="R122" s="215">
        <v>479902.08</v>
      </c>
      <c r="S122" s="216">
        <v>0</v>
      </c>
      <c r="T122" s="171">
        <f t="shared" si="57"/>
        <v>125644</v>
      </c>
      <c r="U122" s="172">
        <f>SUM(U123:U128)</f>
        <v>137644</v>
      </c>
      <c r="V122" s="172">
        <f t="shared" si="57"/>
        <v>0</v>
      </c>
      <c r="W122" s="174">
        <f>SUM(W123:W128)</f>
        <v>0</v>
      </c>
    </row>
    <row r="123" spans="1:23" ht="15.75" x14ac:dyDescent="0.25">
      <c r="B123" s="70">
        <v>1</v>
      </c>
      <c r="C123" s="84" t="s">
        <v>301</v>
      </c>
      <c r="D123" s="72" t="e">
        <f t="shared" ref="D123:D129" si="58">SUM(E123:G123)</f>
        <v>#REF!</v>
      </c>
      <c r="E123" s="73">
        <v>58794</v>
      </c>
      <c r="F123" s="73" t="e">
        <f>'[2]10. Šport'!#REF!</f>
        <v>#REF!</v>
      </c>
      <c r="G123" s="74" t="e">
        <f>'[2]10. Šport'!#REF!</f>
        <v>#REF!</v>
      </c>
      <c r="H123" s="72">
        <f t="shared" ref="H123:H129" si="59">SUM(I123:K123)</f>
        <v>16299</v>
      </c>
      <c r="I123" s="73">
        <v>16299</v>
      </c>
      <c r="J123" s="73">
        <v>0</v>
      </c>
      <c r="K123" s="75">
        <v>0</v>
      </c>
      <c r="L123" s="72" t="e">
        <f t="shared" ref="L123:L129" si="60">SUM(M123:O123)</f>
        <v>#REF!</v>
      </c>
      <c r="M123" s="73" t="e">
        <f>'[2]10. Šport'!#REF!</f>
        <v>#REF!</v>
      </c>
      <c r="N123" s="73" t="e">
        <f>'[2]10. Šport'!#REF!</f>
        <v>#REF!</v>
      </c>
      <c r="O123" s="75" t="e">
        <f>'[2]10. Šport'!#REF!</f>
        <v>#REF!</v>
      </c>
      <c r="P123" s="240">
        <v>52074.76</v>
      </c>
      <c r="Q123" s="217">
        <v>52074.76</v>
      </c>
      <c r="R123" s="217">
        <v>0</v>
      </c>
      <c r="S123" s="218">
        <v>0</v>
      </c>
      <c r="T123" s="72">
        <f t="shared" ref="T123:T129" si="61">SUM(U123:W123)</f>
        <v>42170</v>
      </c>
      <c r="U123" s="73">
        <f>'[2]10. Šport'!$H$9</f>
        <v>42170</v>
      </c>
      <c r="V123" s="73">
        <f>'[2]10. Šport'!$I$9</f>
        <v>0</v>
      </c>
      <c r="W123" s="75">
        <f>'[2]10. Šport'!$J$9</f>
        <v>0</v>
      </c>
    </row>
    <row r="124" spans="1:23" ht="15.75" x14ac:dyDescent="0.25">
      <c r="B124" s="70">
        <v>2</v>
      </c>
      <c r="C124" s="84" t="s">
        <v>302</v>
      </c>
      <c r="D124" s="72" t="e">
        <f t="shared" si="58"/>
        <v>#REF!</v>
      </c>
      <c r="E124" s="73">
        <v>43777</v>
      </c>
      <c r="F124" s="73">
        <v>0</v>
      </c>
      <c r="G124" s="74" t="e">
        <f>'[2]10. Šport'!#REF!</f>
        <v>#REF!</v>
      </c>
      <c r="H124" s="72" t="e">
        <f t="shared" si="59"/>
        <v>#REF!</v>
      </c>
      <c r="I124" s="73">
        <v>27121</v>
      </c>
      <c r="J124" s="73" t="e">
        <f>'[2]10. Šport'!#REF!</f>
        <v>#REF!</v>
      </c>
      <c r="K124" s="75">
        <v>0</v>
      </c>
      <c r="L124" s="72" t="e">
        <f t="shared" si="60"/>
        <v>#REF!</v>
      </c>
      <c r="M124" s="73" t="e">
        <f>'[2]10. Šport'!#REF!</f>
        <v>#REF!</v>
      </c>
      <c r="N124" s="73" t="e">
        <f>'[2]10. Šport'!#REF!</f>
        <v>#REF!</v>
      </c>
      <c r="O124" s="75" t="e">
        <f>'[2]10. Šport'!#REF!</f>
        <v>#REF!</v>
      </c>
      <c r="P124" s="240">
        <v>567083.27</v>
      </c>
      <c r="Q124" s="217">
        <v>87181.19</v>
      </c>
      <c r="R124" s="217">
        <v>479902.08</v>
      </c>
      <c r="S124" s="218">
        <v>0</v>
      </c>
      <c r="T124" s="72">
        <f t="shared" si="61"/>
        <v>45954</v>
      </c>
      <c r="U124" s="73">
        <f>'[2]10. Šport'!$H$23</f>
        <v>45954</v>
      </c>
      <c r="V124" s="73">
        <f>'[2]10. Šport'!$I$23</f>
        <v>0</v>
      </c>
      <c r="W124" s="75">
        <f>'[2]10. Šport'!$J$23</f>
        <v>0</v>
      </c>
    </row>
    <row r="125" spans="1:23" ht="15.75" x14ac:dyDescent="0.25">
      <c r="B125" s="70">
        <v>3</v>
      </c>
      <c r="C125" s="84" t="s">
        <v>303</v>
      </c>
      <c r="D125" s="72" t="e">
        <f t="shared" si="58"/>
        <v>#REF!</v>
      </c>
      <c r="E125" s="73">
        <v>11086</v>
      </c>
      <c r="F125" s="73" t="e">
        <f>'[2]10. Šport'!#REF!</f>
        <v>#REF!</v>
      </c>
      <c r="G125" s="74" t="e">
        <f>'[2]10. Šport'!#REF!</f>
        <v>#REF!</v>
      </c>
      <c r="H125" s="72">
        <f t="shared" si="59"/>
        <v>12071</v>
      </c>
      <c r="I125" s="73">
        <v>12071</v>
      </c>
      <c r="J125" s="73">
        <v>0</v>
      </c>
      <c r="K125" s="75">
        <v>0</v>
      </c>
      <c r="L125" s="72" t="e">
        <f t="shared" si="60"/>
        <v>#REF!</v>
      </c>
      <c r="M125" s="73" t="e">
        <f>'[2]10. Šport'!#REF!</f>
        <v>#REF!</v>
      </c>
      <c r="N125" s="73" t="e">
        <f>'[2]10. Šport'!#REF!</f>
        <v>#REF!</v>
      </c>
      <c r="O125" s="75" t="e">
        <f>'[2]10. Šport'!#REF!</f>
        <v>#REF!</v>
      </c>
      <c r="P125" s="240">
        <v>15001.11</v>
      </c>
      <c r="Q125" s="217">
        <v>15001.11</v>
      </c>
      <c r="R125" s="217">
        <v>0</v>
      </c>
      <c r="S125" s="218">
        <v>0</v>
      </c>
      <c r="T125" s="72">
        <f t="shared" si="61"/>
        <v>18820</v>
      </c>
      <c r="U125" s="73">
        <f>'[2]10. Šport'!$H$36</f>
        <v>18820</v>
      </c>
      <c r="V125" s="73">
        <f>'[2]10. Šport'!$I$36</f>
        <v>0</v>
      </c>
      <c r="W125" s="75">
        <f>'[2]10. Šport'!$J$36</f>
        <v>0</v>
      </c>
    </row>
    <row r="126" spans="1:23" ht="15.75" x14ac:dyDescent="0.25">
      <c r="B126" s="70">
        <v>4</v>
      </c>
      <c r="C126" s="84" t="s">
        <v>304</v>
      </c>
      <c r="D126" s="72" t="e">
        <f t="shared" si="58"/>
        <v>#REF!</v>
      </c>
      <c r="E126" s="73">
        <v>51578.5</v>
      </c>
      <c r="F126" s="73" t="e">
        <f>'[2]10. Šport'!#REF!</f>
        <v>#REF!</v>
      </c>
      <c r="G126" s="74" t="e">
        <f>'[2]10. Šport'!#REF!</f>
        <v>#REF!</v>
      </c>
      <c r="H126" s="72">
        <f t="shared" si="59"/>
        <v>83846</v>
      </c>
      <c r="I126" s="73">
        <v>83846</v>
      </c>
      <c r="J126" s="73">
        <v>0</v>
      </c>
      <c r="K126" s="75">
        <v>0</v>
      </c>
      <c r="L126" s="72" t="e">
        <f t="shared" si="60"/>
        <v>#REF!</v>
      </c>
      <c r="M126" s="73" t="e">
        <f>'[2]10. Šport'!#REF!</f>
        <v>#REF!</v>
      </c>
      <c r="N126" s="73" t="e">
        <f>'[2]10. Šport'!#REF!</f>
        <v>#REF!</v>
      </c>
      <c r="O126" s="75" t="e">
        <f>'[2]10. Šport'!#REF!</f>
        <v>#REF!</v>
      </c>
      <c r="P126" s="240">
        <v>85409.57</v>
      </c>
      <c r="Q126" s="217">
        <v>85409.57</v>
      </c>
      <c r="R126" s="217">
        <v>0</v>
      </c>
      <c r="S126" s="218">
        <v>0</v>
      </c>
      <c r="T126" s="72">
        <f t="shared" si="61"/>
        <v>16800</v>
      </c>
      <c r="U126" s="73">
        <f>'[3]10. Šport'!$Q$38</f>
        <v>16800</v>
      </c>
      <c r="V126" s="73">
        <f>'[2]10. Šport'!$I$44</f>
        <v>0</v>
      </c>
      <c r="W126" s="75">
        <f>'[2]10. Šport'!$J$44</f>
        <v>0</v>
      </c>
    </row>
    <row r="127" spans="1:23" ht="15.75" x14ac:dyDescent="0.25">
      <c r="B127" s="70">
        <v>5</v>
      </c>
      <c r="C127" s="84" t="s">
        <v>305</v>
      </c>
      <c r="D127" s="72" t="e">
        <f t="shared" si="58"/>
        <v>#REF!</v>
      </c>
      <c r="E127" s="73">
        <v>1787.5</v>
      </c>
      <c r="F127" s="73" t="e">
        <f>'[2]10. Šport'!#REF!</f>
        <v>#REF!</v>
      </c>
      <c r="G127" s="74" t="e">
        <f>'[2]10. Šport'!#REF!</f>
        <v>#REF!</v>
      </c>
      <c r="H127" s="72">
        <f t="shared" si="59"/>
        <v>1552</v>
      </c>
      <c r="I127" s="73">
        <v>1552</v>
      </c>
      <c r="J127" s="73">
        <v>0</v>
      </c>
      <c r="K127" s="75">
        <v>0</v>
      </c>
      <c r="L127" s="72" t="e">
        <f t="shared" si="60"/>
        <v>#REF!</v>
      </c>
      <c r="M127" s="73" t="e">
        <f>'[2]10. Šport'!#REF!</f>
        <v>#REF!</v>
      </c>
      <c r="N127" s="73" t="e">
        <f>'[2]10. Šport'!#REF!</f>
        <v>#REF!</v>
      </c>
      <c r="O127" s="75" t="e">
        <f>'[2]10. Šport'!#REF!</f>
        <v>#REF!</v>
      </c>
      <c r="P127" s="240">
        <v>3317.74</v>
      </c>
      <c r="Q127" s="217">
        <v>3317.74</v>
      </c>
      <c r="R127" s="217">
        <v>0</v>
      </c>
      <c r="S127" s="218">
        <v>0</v>
      </c>
      <c r="T127" s="72">
        <f t="shared" si="61"/>
        <v>1900</v>
      </c>
      <c r="U127" s="73">
        <f>'[2]10. Šport'!$H$57</f>
        <v>1900</v>
      </c>
      <c r="V127" s="73">
        <f>'[2]10. Šport'!$I$57</f>
        <v>0</v>
      </c>
      <c r="W127" s="75">
        <f>'[2]10. Šport'!$J$57</f>
        <v>0</v>
      </c>
    </row>
    <row r="128" spans="1:23" ht="15.75" x14ac:dyDescent="0.25">
      <c r="B128" s="127">
        <v>6</v>
      </c>
      <c r="C128" s="128" t="s">
        <v>386</v>
      </c>
      <c r="D128" s="88"/>
      <c r="E128" s="82"/>
      <c r="F128" s="82"/>
      <c r="G128" s="96"/>
      <c r="H128" s="88"/>
      <c r="I128" s="82"/>
      <c r="J128" s="82"/>
      <c r="K128" s="83"/>
      <c r="L128" s="88"/>
      <c r="M128" s="82"/>
      <c r="N128" s="82"/>
      <c r="O128" s="96"/>
      <c r="P128" s="240">
        <v>0</v>
      </c>
      <c r="Q128" s="217">
        <v>0</v>
      </c>
      <c r="R128" s="217">
        <v>0</v>
      </c>
      <c r="S128" s="218">
        <v>0</v>
      </c>
      <c r="T128" s="247">
        <f>SUM(U128:W128)</f>
        <v>12000</v>
      </c>
      <c r="U128" s="82">
        <f>'[3]10. Šport'!$Q$56</f>
        <v>12000</v>
      </c>
      <c r="V128" s="82">
        <f>'[2]10. Šport'!$I$63</f>
        <v>0</v>
      </c>
      <c r="W128" s="83">
        <f>'[2]10. Šport'!$J$63</f>
        <v>0</v>
      </c>
    </row>
    <row r="129" spans="2:23" ht="17.25" thickBot="1" x14ac:dyDescent="0.35">
      <c r="B129" s="190" t="s">
        <v>306</v>
      </c>
      <c r="C129" s="191" t="s">
        <v>307</v>
      </c>
      <c r="D129" s="178" t="e">
        <f t="shared" si="58"/>
        <v>#REF!</v>
      </c>
      <c r="E129" s="179">
        <v>69674</v>
      </c>
      <c r="F129" s="179" t="e">
        <f>'[2]10. Šport'!#REF!</f>
        <v>#REF!</v>
      </c>
      <c r="G129" s="180" t="e">
        <f>'[2]10. Šport'!#REF!</f>
        <v>#REF!</v>
      </c>
      <c r="H129" s="186">
        <f t="shared" si="59"/>
        <v>50000</v>
      </c>
      <c r="I129" s="181">
        <v>50000</v>
      </c>
      <c r="J129" s="181">
        <v>0</v>
      </c>
      <c r="K129" s="182">
        <v>0</v>
      </c>
      <c r="L129" s="178" t="e">
        <f t="shared" si="60"/>
        <v>#REF!</v>
      </c>
      <c r="M129" s="179" t="e">
        <f>'[2]10. Šport'!#REF!</f>
        <v>#REF!</v>
      </c>
      <c r="N129" s="179" t="e">
        <f>'[2]10. Šport'!#REF!</f>
        <v>#REF!</v>
      </c>
      <c r="O129" s="188" t="e">
        <f>'[2]10. Šport'!#REF!</f>
        <v>#REF!</v>
      </c>
      <c r="P129" s="241">
        <v>50000</v>
      </c>
      <c r="Q129" s="225">
        <v>50000</v>
      </c>
      <c r="R129" s="225">
        <v>0</v>
      </c>
      <c r="S129" s="226">
        <v>0</v>
      </c>
      <c r="T129" s="178" t="e">
        <f t="shared" si="61"/>
        <v>#REF!</v>
      </c>
      <c r="U129" s="179" t="e">
        <f>'[2]10. Šport'!$H$67</f>
        <v>#REF!</v>
      </c>
      <c r="V129" s="179" t="e">
        <f>'[2]10. Šport'!$I$67</f>
        <v>#REF!</v>
      </c>
      <c r="W129" s="188" t="e">
        <f>'[2]10. Šport'!$J$67</f>
        <v>#REF!</v>
      </c>
    </row>
    <row r="130" spans="2:23" s="63" customFormat="1" ht="14.25" x14ac:dyDescent="0.2">
      <c r="B130" s="154" t="s">
        <v>308</v>
      </c>
      <c r="C130" s="158"/>
      <c r="D130" s="149" t="e">
        <f t="shared" ref="D130:K130" si="62">D131+D132+D137+D138</f>
        <v>#REF!</v>
      </c>
      <c r="E130" s="150">
        <f t="shared" si="62"/>
        <v>516693.98</v>
      </c>
      <c r="F130" s="150" t="e">
        <f t="shared" si="62"/>
        <v>#REF!</v>
      </c>
      <c r="G130" s="151" t="e">
        <f t="shared" si="62"/>
        <v>#REF!</v>
      </c>
      <c r="H130" s="149" t="e">
        <f t="shared" si="62"/>
        <v>#REF!</v>
      </c>
      <c r="I130" s="150" t="e">
        <f t="shared" si="62"/>
        <v>#REF!</v>
      </c>
      <c r="J130" s="150" t="e">
        <f t="shared" si="62"/>
        <v>#REF!</v>
      </c>
      <c r="K130" s="152" t="e">
        <f t="shared" si="62"/>
        <v>#REF!</v>
      </c>
      <c r="L130" s="153" t="e">
        <f>L131+L132+L138+L137</f>
        <v>#REF!</v>
      </c>
      <c r="M130" s="150" t="e">
        <f>M131+M132+M137+M138</f>
        <v>#REF!</v>
      </c>
      <c r="N130" s="150" t="e">
        <f>N131+N132+N137+N138</f>
        <v>#REF!</v>
      </c>
      <c r="O130" s="152" t="e">
        <f>O131+O132+O137+O138</f>
        <v>#REF!</v>
      </c>
      <c r="P130" s="222">
        <v>437280.51</v>
      </c>
      <c r="Q130" s="223">
        <v>394199.44</v>
      </c>
      <c r="R130" s="223">
        <v>45000</v>
      </c>
      <c r="S130" s="227">
        <v>0</v>
      </c>
      <c r="T130" s="153" t="e">
        <f>T131+T132+T138+T137</f>
        <v>#REF!</v>
      </c>
      <c r="U130" s="150" t="e">
        <f>U131+U132+U137+U138</f>
        <v>#REF!</v>
      </c>
      <c r="V130" s="150" t="e">
        <f>V131+V132+V137+V138</f>
        <v>#REF!</v>
      </c>
      <c r="W130" s="152" t="e">
        <f>W131+W132+W137+W138</f>
        <v>#REF!</v>
      </c>
    </row>
    <row r="131" spans="2:23" ht="16.5" x14ac:dyDescent="0.3">
      <c r="B131" s="193" t="s">
        <v>309</v>
      </c>
      <c r="C131" s="189" t="s">
        <v>310</v>
      </c>
      <c r="D131" s="171" t="e">
        <f>SUM(E131:G131)</f>
        <v>#REF!</v>
      </c>
      <c r="E131" s="172">
        <v>9270</v>
      </c>
      <c r="F131" s="172" t="e">
        <f>'[2]11. Kultúra'!#REF!</f>
        <v>#REF!</v>
      </c>
      <c r="G131" s="173" t="e">
        <f>'[2]11. Kultúra'!#REF!</f>
        <v>#REF!</v>
      </c>
      <c r="H131" s="171" t="e">
        <f>SUM(I131:K131)</f>
        <v>#REF!</v>
      </c>
      <c r="I131" s="172" t="e">
        <f>'[2]11. Kultúra'!#REF!</f>
        <v>#REF!</v>
      </c>
      <c r="J131" s="172" t="e">
        <f>'[2]11. Kultúra'!#REF!</f>
        <v>#REF!</v>
      </c>
      <c r="K131" s="174" t="e">
        <f>'[2]11. Kultúra'!#REF!</f>
        <v>#REF!</v>
      </c>
      <c r="L131" s="175" t="e">
        <f>SUM(M131:O131)</f>
        <v>#REF!</v>
      </c>
      <c r="M131" s="172" t="e">
        <f>'[2]11. Kultúra'!#REF!</f>
        <v>#REF!</v>
      </c>
      <c r="N131" s="172" t="e">
        <f>'[2]11. Kultúra'!#REF!</f>
        <v>#REF!</v>
      </c>
      <c r="O131" s="174" t="e">
        <f>'[2]11. Kultúra'!#REF!</f>
        <v>#REF!</v>
      </c>
      <c r="P131" s="214">
        <v>3434.8</v>
      </c>
      <c r="Q131" s="215">
        <v>3434.8</v>
      </c>
      <c r="R131" s="215">
        <v>0</v>
      </c>
      <c r="S131" s="216">
        <v>0</v>
      </c>
      <c r="T131" s="175">
        <f>SUM(U131:W131)</f>
        <v>2940</v>
      </c>
      <c r="U131" s="172">
        <f>'[2]11. Kultúra'!$H$4</f>
        <v>2940</v>
      </c>
      <c r="V131" s="172">
        <f>'[2]11. Kultúra'!$I$4</f>
        <v>0</v>
      </c>
      <c r="W131" s="174">
        <f>'[2]11. Kultúra'!$J$4</f>
        <v>0</v>
      </c>
    </row>
    <row r="132" spans="2:23" ht="15.75" x14ac:dyDescent="0.25">
      <c r="B132" s="193" t="s">
        <v>311</v>
      </c>
      <c r="C132" s="184" t="s">
        <v>312</v>
      </c>
      <c r="D132" s="171" t="e">
        <f t="shared" ref="D132:W132" si="63">SUM(D133:D136)</f>
        <v>#REF!</v>
      </c>
      <c r="E132" s="172">
        <f t="shared" si="63"/>
        <v>474163.98</v>
      </c>
      <c r="F132" s="172" t="e">
        <f t="shared" si="63"/>
        <v>#REF!</v>
      </c>
      <c r="G132" s="173" t="e">
        <f t="shared" si="63"/>
        <v>#REF!</v>
      </c>
      <c r="H132" s="171" t="e">
        <f t="shared" si="63"/>
        <v>#REF!</v>
      </c>
      <c r="I132" s="172" t="e">
        <f t="shared" si="63"/>
        <v>#REF!</v>
      </c>
      <c r="J132" s="172" t="e">
        <f t="shared" si="63"/>
        <v>#REF!</v>
      </c>
      <c r="K132" s="174" t="e">
        <f t="shared" si="63"/>
        <v>#REF!</v>
      </c>
      <c r="L132" s="175" t="e">
        <f t="shared" si="63"/>
        <v>#REF!</v>
      </c>
      <c r="M132" s="172" t="e">
        <f t="shared" si="63"/>
        <v>#REF!</v>
      </c>
      <c r="N132" s="172" t="e">
        <f t="shared" si="63"/>
        <v>#REF!</v>
      </c>
      <c r="O132" s="174" t="e">
        <f t="shared" si="63"/>
        <v>#REF!</v>
      </c>
      <c r="P132" s="214">
        <v>430545.71</v>
      </c>
      <c r="Q132" s="215">
        <v>387464.64</v>
      </c>
      <c r="R132" s="215">
        <v>45000</v>
      </c>
      <c r="S132" s="216">
        <v>0</v>
      </c>
      <c r="T132" s="175" t="e">
        <f t="shared" si="63"/>
        <v>#REF!</v>
      </c>
      <c r="U132" s="172" t="e">
        <f t="shared" si="63"/>
        <v>#REF!</v>
      </c>
      <c r="V132" s="172" t="e">
        <f t="shared" si="63"/>
        <v>#REF!</v>
      </c>
      <c r="W132" s="174" t="e">
        <f t="shared" si="63"/>
        <v>#REF!</v>
      </c>
    </row>
    <row r="133" spans="2:23" ht="15.75" x14ac:dyDescent="0.25">
      <c r="B133" s="70">
        <v>1</v>
      </c>
      <c r="C133" s="84" t="s">
        <v>313</v>
      </c>
      <c r="D133" s="72" t="e">
        <f t="shared" ref="D133:D138" si="64">SUM(E133:G133)</f>
        <v>#REF!</v>
      </c>
      <c r="E133" s="73">
        <v>107434.49</v>
      </c>
      <c r="F133" s="73">
        <v>276258</v>
      </c>
      <c r="G133" s="74" t="e">
        <f>'[2]11. Kultúra'!#REF!</f>
        <v>#REF!</v>
      </c>
      <c r="H133" s="72" t="e">
        <f t="shared" ref="H133:H138" si="65">SUM(I133:K133)</f>
        <v>#REF!</v>
      </c>
      <c r="I133" s="73" t="e">
        <f>'[2]11. Kultúra'!#REF!</f>
        <v>#REF!</v>
      </c>
      <c r="J133" s="73" t="e">
        <f>'[2]11. Kultúra'!#REF!</f>
        <v>#REF!</v>
      </c>
      <c r="K133" s="75" t="e">
        <f>'[2]11. Kultúra'!#REF!</f>
        <v>#REF!</v>
      </c>
      <c r="L133" s="76" t="e">
        <f t="shared" ref="L133:L138" si="66">SUM(M133:O133)</f>
        <v>#REF!</v>
      </c>
      <c r="M133" s="73" t="e">
        <f>'[2]11. Kultúra'!#REF!</f>
        <v>#REF!</v>
      </c>
      <c r="N133" s="73" t="e">
        <f>'[2]11. Kultúra'!#REF!</f>
        <v>#REF!</v>
      </c>
      <c r="O133" s="75" t="e">
        <f>'[2]11. Kultúra'!#REF!</f>
        <v>#REF!</v>
      </c>
      <c r="P133" s="214">
        <v>100378.95</v>
      </c>
      <c r="Q133" s="217">
        <v>100378.95</v>
      </c>
      <c r="R133" s="217">
        <v>0</v>
      </c>
      <c r="S133" s="218">
        <v>0</v>
      </c>
      <c r="T133" s="76">
        <f t="shared" ref="T133:T138" si="67">SUM(U133:W133)</f>
        <v>109400</v>
      </c>
      <c r="U133" s="73">
        <f>'[2]11. Kultúra'!$H$24</f>
        <v>109400</v>
      </c>
      <c r="V133" s="73">
        <f>'[2]11. Kultúra'!$I$24</f>
        <v>0</v>
      </c>
      <c r="W133" s="75">
        <f>'[2]11. Kultúra'!$J$24</f>
        <v>0</v>
      </c>
    </row>
    <row r="134" spans="2:23" ht="15.75" x14ac:dyDescent="0.25">
      <c r="B134" s="70">
        <v>2</v>
      </c>
      <c r="C134" s="84" t="s">
        <v>314</v>
      </c>
      <c r="D134" s="72" t="e">
        <f t="shared" si="64"/>
        <v>#REF!</v>
      </c>
      <c r="E134" s="73">
        <v>2724</v>
      </c>
      <c r="F134" s="73" t="e">
        <f>'[2]11. Kultúra'!#REF!</f>
        <v>#REF!</v>
      </c>
      <c r="G134" s="74" t="e">
        <f>'[2]11. Kultúra'!#REF!</f>
        <v>#REF!</v>
      </c>
      <c r="H134" s="72" t="e">
        <f t="shared" si="65"/>
        <v>#REF!</v>
      </c>
      <c r="I134" s="73" t="e">
        <f>'[2]11. Kultúra'!#REF!</f>
        <v>#REF!</v>
      </c>
      <c r="J134" s="73" t="e">
        <f>'[2]11. Kultúra'!#REF!</f>
        <v>#REF!</v>
      </c>
      <c r="K134" s="75" t="e">
        <f>'[2]11. Kultúra'!#REF!</f>
        <v>#REF!</v>
      </c>
      <c r="L134" s="76" t="e">
        <f t="shared" si="66"/>
        <v>#REF!</v>
      </c>
      <c r="M134" s="73" t="e">
        <f>'[2]11. Kultúra'!#REF!</f>
        <v>#REF!</v>
      </c>
      <c r="N134" s="73" t="e">
        <f>'[2]11. Kultúra'!#REF!</f>
        <v>#REF!</v>
      </c>
      <c r="O134" s="75" t="e">
        <f>'[2]11. Kultúra'!#REF!</f>
        <v>#REF!</v>
      </c>
      <c r="P134" s="214">
        <v>2714.41</v>
      </c>
      <c r="Q134" s="217">
        <v>2714.41</v>
      </c>
      <c r="R134" s="217">
        <v>0</v>
      </c>
      <c r="S134" s="218">
        <v>0</v>
      </c>
      <c r="T134" s="76">
        <f t="shared" si="67"/>
        <v>2355</v>
      </c>
      <c r="U134" s="73">
        <f>'[2]11. Kultúra'!$H$30</f>
        <v>2355</v>
      </c>
      <c r="V134" s="73">
        <f>'[2]11. Kultúra'!$I$30</f>
        <v>0</v>
      </c>
      <c r="W134" s="75">
        <f>'[2]11. Kultúra'!$J$30</f>
        <v>0</v>
      </c>
    </row>
    <row r="135" spans="2:23" ht="15.75" x14ac:dyDescent="0.25">
      <c r="B135" s="70">
        <v>3</v>
      </c>
      <c r="C135" s="84" t="s">
        <v>315</v>
      </c>
      <c r="D135" s="72" t="e">
        <f t="shared" si="64"/>
        <v>#REF!</v>
      </c>
      <c r="E135" s="73">
        <v>347901.49</v>
      </c>
      <c r="F135" s="73">
        <v>80073</v>
      </c>
      <c r="G135" s="74" t="e">
        <f>'[2]11. Kultúra'!#REF!</f>
        <v>#REF!</v>
      </c>
      <c r="H135" s="72" t="e">
        <f t="shared" si="65"/>
        <v>#REF!</v>
      </c>
      <c r="I135" s="73" t="e">
        <f>'[2]11. Kultúra'!#REF!</f>
        <v>#REF!</v>
      </c>
      <c r="J135" s="73" t="e">
        <f>'[2]11. Kultúra'!#REF!</f>
        <v>#REF!</v>
      </c>
      <c r="K135" s="75" t="e">
        <f>'[2]11. Kultúra'!#REF!</f>
        <v>#REF!</v>
      </c>
      <c r="L135" s="76" t="e">
        <f t="shared" si="66"/>
        <v>#REF!</v>
      </c>
      <c r="M135" s="73" t="e">
        <f>'[2]11. Kultúra'!#REF!</f>
        <v>#REF!</v>
      </c>
      <c r="N135" s="73" t="e">
        <f>'[2]11. Kultúra'!#REF!</f>
        <v>#REF!</v>
      </c>
      <c r="O135" s="75" t="e">
        <f>'[2]11. Kultúra'!#REF!</f>
        <v>#REF!</v>
      </c>
      <c r="P135" s="214">
        <v>317027.34999999998</v>
      </c>
      <c r="Q135" s="217">
        <v>273946.28000000003</v>
      </c>
      <c r="R135" s="217">
        <v>45000</v>
      </c>
      <c r="S135" s="218">
        <v>0</v>
      </c>
      <c r="T135" s="76">
        <f t="shared" si="67"/>
        <v>371273</v>
      </c>
      <c r="U135" s="73">
        <f>'[2]11. Kultúra'!$H$43</f>
        <v>306185</v>
      </c>
      <c r="V135" s="73">
        <f>'[2]11. Kultúra'!$I$43</f>
        <v>65088</v>
      </c>
      <c r="W135" s="75">
        <f>'[2]11. Kultúra'!$J$43</f>
        <v>0</v>
      </c>
    </row>
    <row r="136" spans="2:23" ht="15.75" x14ac:dyDescent="0.25">
      <c r="B136" s="70">
        <v>4</v>
      </c>
      <c r="C136" s="84" t="s">
        <v>316</v>
      </c>
      <c r="D136" s="72" t="e">
        <f t="shared" si="64"/>
        <v>#REF!</v>
      </c>
      <c r="E136" s="73">
        <v>16104</v>
      </c>
      <c r="F136" s="73" t="e">
        <f>'[2]11. Kultúra'!#REF!</f>
        <v>#REF!</v>
      </c>
      <c r="G136" s="74" t="e">
        <f>'[2]11. Kultúra'!#REF!</f>
        <v>#REF!</v>
      </c>
      <c r="H136" s="72" t="e">
        <f t="shared" si="65"/>
        <v>#REF!</v>
      </c>
      <c r="I136" s="73" t="e">
        <f>'[2]11. Kultúra'!#REF!</f>
        <v>#REF!</v>
      </c>
      <c r="J136" s="73" t="e">
        <f>'[2]11. Kultúra'!#REF!</f>
        <v>#REF!</v>
      </c>
      <c r="K136" s="75" t="e">
        <f>'[2]11. Kultúra'!#REF!</f>
        <v>#REF!</v>
      </c>
      <c r="L136" s="76" t="e">
        <f t="shared" si="66"/>
        <v>#REF!</v>
      </c>
      <c r="M136" s="73">
        <v>19300</v>
      </c>
      <c r="N136" s="73" t="e">
        <f>'[2]11. Kultúra'!#REF!</f>
        <v>#REF!</v>
      </c>
      <c r="O136" s="75" t="e">
        <f>'[2]11. Kultúra'!#REF!</f>
        <v>#REF!</v>
      </c>
      <c r="P136" s="214">
        <v>10425</v>
      </c>
      <c r="Q136" s="217">
        <v>10425</v>
      </c>
      <c r="R136" s="217">
        <v>0</v>
      </c>
      <c r="S136" s="218">
        <v>0</v>
      </c>
      <c r="T136" s="76" t="e">
        <f t="shared" si="67"/>
        <v>#REF!</v>
      </c>
      <c r="U136" s="73" t="e">
        <f>'[2]11. Kultúra'!$H$141</f>
        <v>#REF!</v>
      </c>
      <c r="V136" s="73" t="e">
        <f>'[2]11. Kultúra'!$I$140</f>
        <v>#REF!</v>
      </c>
      <c r="W136" s="75" t="e">
        <f>'[2]11. Kultúra'!$J$140</f>
        <v>#REF!</v>
      </c>
    </row>
    <row r="137" spans="2:23" ht="15.75" x14ac:dyDescent="0.25">
      <c r="B137" s="193" t="s">
        <v>317</v>
      </c>
      <c r="C137" s="184" t="s">
        <v>318</v>
      </c>
      <c r="D137" s="171" t="e">
        <f t="shared" si="64"/>
        <v>#REF!</v>
      </c>
      <c r="E137" s="172">
        <v>31250</v>
      </c>
      <c r="F137" s="172">
        <v>0</v>
      </c>
      <c r="G137" s="173" t="e">
        <f>'[2]11. Kultúra'!#REF!</f>
        <v>#REF!</v>
      </c>
      <c r="H137" s="171" t="e">
        <f t="shared" si="65"/>
        <v>#REF!</v>
      </c>
      <c r="I137" s="172" t="e">
        <f>'[2]11. Kultúra'!#REF!</f>
        <v>#REF!</v>
      </c>
      <c r="J137" s="172" t="e">
        <f>'[2]11. Kultúra'!#REF!</f>
        <v>#REF!</v>
      </c>
      <c r="K137" s="174" t="e">
        <f>'[2]11. Kultúra'!#REF!</f>
        <v>#REF!</v>
      </c>
      <c r="L137" s="175" t="e">
        <f t="shared" si="66"/>
        <v>#REF!</v>
      </c>
      <c r="M137" s="172">
        <v>3300</v>
      </c>
      <c r="N137" s="172" t="e">
        <f>'[2]11. Kultúra'!#REF!</f>
        <v>#REF!</v>
      </c>
      <c r="O137" s="174" t="e">
        <f>'[2]11. Kultúra'!#REF!</f>
        <v>#REF!</v>
      </c>
      <c r="P137" s="214">
        <v>3300</v>
      </c>
      <c r="Q137" s="215">
        <v>3300</v>
      </c>
      <c r="R137" s="215">
        <v>0</v>
      </c>
      <c r="S137" s="216">
        <v>0</v>
      </c>
      <c r="T137" s="175" t="e">
        <f t="shared" si="67"/>
        <v>#REF!</v>
      </c>
      <c r="U137" s="172">
        <f>'[2]11. Kultúra'!$H$156</f>
        <v>300</v>
      </c>
      <c r="V137" s="172" t="e">
        <f>'[2]11. Kultúra'!$I$156</f>
        <v>#REF!</v>
      </c>
      <c r="W137" s="174" t="e">
        <f>'[2]11. Kultúra'!$J$156</f>
        <v>#REF!</v>
      </c>
    </row>
    <row r="138" spans="2:23" ht="16.5" thickBot="1" x14ac:dyDescent="0.3">
      <c r="B138" s="190" t="s">
        <v>319</v>
      </c>
      <c r="C138" s="185" t="s">
        <v>320</v>
      </c>
      <c r="D138" s="178" t="e">
        <f t="shared" si="64"/>
        <v>#REF!</v>
      </c>
      <c r="E138" s="179">
        <v>2010</v>
      </c>
      <c r="F138" s="179" t="e">
        <f>'[2]11. Kultúra'!#REF!</f>
        <v>#REF!</v>
      </c>
      <c r="G138" s="201" t="e">
        <f>'[2]11. Kultúra'!#REF!</f>
        <v>#REF!</v>
      </c>
      <c r="H138" s="202" t="e">
        <f t="shared" si="65"/>
        <v>#REF!</v>
      </c>
      <c r="I138" s="203" t="e">
        <f>'[2]11. Kultúra'!#REF!</f>
        <v>#REF!</v>
      </c>
      <c r="J138" s="203" t="e">
        <f>'[2]11. Kultúra'!#REF!</f>
        <v>#REF!</v>
      </c>
      <c r="K138" s="204" t="e">
        <f>'[2]11. Kultúra'!#REF!</f>
        <v>#REF!</v>
      </c>
      <c r="L138" s="187" t="e">
        <f t="shared" si="66"/>
        <v>#REF!</v>
      </c>
      <c r="M138" s="179">
        <v>0</v>
      </c>
      <c r="N138" s="179" t="e">
        <f>'[2]11. Kultúra'!#REF!</f>
        <v>#REF!</v>
      </c>
      <c r="O138" s="205" t="e">
        <f>'[2]11. Kultúra'!#REF!</f>
        <v>#REF!</v>
      </c>
      <c r="P138" s="224">
        <v>0</v>
      </c>
      <c r="Q138" s="225">
        <v>0</v>
      </c>
      <c r="R138" s="225">
        <v>0</v>
      </c>
      <c r="S138" s="242">
        <v>0</v>
      </c>
      <c r="T138" s="187" t="e">
        <f t="shared" si="67"/>
        <v>#REF!</v>
      </c>
      <c r="U138" s="179" t="e">
        <f>'[2]11. Kultúra'!$H$160</f>
        <v>#REF!</v>
      </c>
      <c r="V138" s="179" t="e">
        <f>'[2]11. Kultúra'!$I$160</f>
        <v>#REF!</v>
      </c>
      <c r="W138" s="205" t="e">
        <f>'[2]11. Kultúra'!$J$160</f>
        <v>#REF!</v>
      </c>
    </row>
    <row r="139" spans="2:23" s="63" customFormat="1" ht="14.25" x14ac:dyDescent="0.2">
      <c r="B139" s="154" t="s">
        <v>321</v>
      </c>
      <c r="C139" s="158"/>
      <c r="D139" s="149" t="e">
        <f t="shared" ref="D139:W139" si="68">D140+D145+D146+D147+D148+D149+D150</f>
        <v>#REF!</v>
      </c>
      <c r="E139" s="150" t="e">
        <f t="shared" si="68"/>
        <v>#REF!</v>
      </c>
      <c r="F139" s="150" t="e">
        <f t="shared" si="68"/>
        <v>#REF!</v>
      </c>
      <c r="G139" s="151" t="e">
        <f t="shared" si="68"/>
        <v>#REF!</v>
      </c>
      <c r="H139" s="149">
        <f t="shared" si="68"/>
        <v>246839.97999999998</v>
      </c>
      <c r="I139" s="150">
        <f t="shared" si="68"/>
        <v>225512.97999999998</v>
      </c>
      <c r="J139" s="150">
        <f t="shared" si="68"/>
        <v>21327</v>
      </c>
      <c r="K139" s="152">
        <f t="shared" si="68"/>
        <v>0</v>
      </c>
      <c r="L139" s="153" t="e">
        <f t="shared" si="68"/>
        <v>#REF!</v>
      </c>
      <c r="M139" s="150" t="e">
        <f t="shared" si="68"/>
        <v>#REF!</v>
      </c>
      <c r="N139" s="150" t="e">
        <f t="shared" si="68"/>
        <v>#REF!</v>
      </c>
      <c r="O139" s="152" t="e">
        <f t="shared" si="68"/>
        <v>#REF!</v>
      </c>
      <c r="P139" s="222">
        <v>131301.29999999999</v>
      </c>
      <c r="Q139" s="223">
        <v>131151.29999999999</v>
      </c>
      <c r="R139" s="223">
        <v>150</v>
      </c>
      <c r="S139" s="227">
        <v>0</v>
      </c>
      <c r="T139" s="153">
        <f t="shared" si="68"/>
        <v>2267061</v>
      </c>
      <c r="U139" s="150">
        <f t="shared" si="68"/>
        <v>330282</v>
      </c>
      <c r="V139" s="150">
        <f t="shared" si="68"/>
        <v>1936779</v>
      </c>
      <c r="W139" s="152">
        <f t="shared" si="68"/>
        <v>0</v>
      </c>
    </row>
    <row r="140" spans="2:23" ht="15.75" x14ac:dyDescent="0.25">
      <c r="B140" s="193" t="s">
        <v>322</v>
      </c>
      <c r="C140" s="184" t="s">
        <v>323</v>
      </c>
      <c r="D140" s="171" t="e">
        <f t="shared" ref="D140:W140" si="69">SUM(D141:D144)</f>
        <v>#REF!</v>
      </c>
      <c r="E140" s="172" t="e">
        <f t="shared" si="69"/>
        <v>#REF!</v>
      </c>
      <c r="F140" s="172" t="e">
        <f t="shared" si="69"/>
        <v>#REF!</v>
      </c>
      <c r="G140" s="173" t="e">
        <f t="shared" si="69"/>
        <v>#REF!</v>
      </c>
      <c r="H140" s="171">
        <f t="shared" si="69"/>
        <v>219161.49</v>
      </c>
      <c r="I140" s="172">
        <f t="shared" si="69"/>
        <v>197834.49</v>
      </c>
      <c r="J140" s="172">
        <f t="shared" si="69"/>
        <v>21327</v>
      </c>
      <c r="K140" s="174">
        <f t="shared" si="69"/>
        <v>0</v>
      </c>
      <c r="L140" s="175" t="e">
        <f t="shared" si="69"/>
        <v>#REF!</v>
      </c>
      <c r="M140" s="172" t="e">
        <f t="shared" si="69"/>
        <v>#REF!</v>
      </c>
      <c r="N140" s="172" t="e">
        <f t="shared" si="69"/>
        <v>#REF!</v>
      </c>
      <c r="O140" s="174" t="e">
        <f t="shared" si="69"/>
        <v>#REF!</v>
      </c>
      <c r="P140" s="214">
        <v>98209.15</v>
      </c>
      <c r="Q140" s="215">
        <v>98059.15</v>
      </c>
      <c r="R140" s="215">
        <v>150</v>
      </c>
      <c r="S140" s="216">
        <v>0</v>
      </c>
      <c r="T140" s="175">
        <f t="shared" si="69"/>
        <v>2194431</v>
      </c>
      <c r="U140" s="172">
        <f t="shared" si="69"/>
        <v>273132</v>
      </c>
      <c r="V140" s="172">
        <f t="shared" si="69"/>
        <v>1921299</v>
      </c>
      <c r="W140" s="174">
        <f t="shared" si="69"/>
        <v>0</v>
      </c>
    </row>
    <row r="141" spans="2:23" ht="15.75" x14ac:dyDescent="0.25">
      <c r="B141" s="70">
        <v>1</v>
      </c>
      <c r="C141" s="84" t="s">
        <v>324</v>
      </c>
      <c r="D141" s="72" t="e">
        <f t="shared" ref="D141:D150" si="70">SUM(E141:G141)</f>
        <v>#REF!</v>
      </c>
      <c r="E141" s="73">
        <v>180311.49</v>
      </c>
      <c r="F141" s="73" t="e">
        <f>'[2]12. Prostredie pre život'!#REF!</f>
        <v>#REF!</v>
      </c>
      <c r="G141" s="74" t="e">
        <f>'[2]12. Prostredie pre život'!#REF!</f>
        <v>#REF!</v>
      </c>
      <c r="H141" s="72">
        <f t="shared" ref="H141:H150" si="71">SUM(I141:K141)</f>
        <v>194848.49</v>
      </c>
      <c r="I141" s="73">
        <v>194848.49</v>
      </c>
      <c r="J141" s="73">
        <v>0</v>
      </c>
      <c r="K141" s="75">
        <v>0</v>
      </c>
      <c r="L141" s="76" t="e">
        <f t="shared" ref="L141:L150" si="72">SUM(M141:O141)</f>
        <v>#REF!</v>
      </c>
      <c r="M141" s="73" t="e">
        <f>'[2]12. Prostredie pre život'!#REF!</f>
        <v>#REF!</v>
      </c>
      <c r="N141" s="73" t="e">
        <f>'[2]12. Prostredie pre život'!#REF!</f>
        <v>#REF!</v>
      </c>
      <c r="O141" s="75" t="e">
        <f>'[2]12. Prostredie pre život'!#REF!</f>
        <v>#REF!</v>
      </c>
      <c r="P141" s="214">
        <v>94458.92</v>
      </c>
      <c r="Q141" s="217">
        <v>94458.92</v>
      </c>
      <c r="R141" s="217">
        <v>0</v>
      </c>
      <c r="S141" s="218">
        <v>0</v>
      </c>
      <c r="T141" s="76">
        <f t="shared" ref="T141:T150" si="73">SUM(U141:W141)</f>
        <v>117930</v>
      </c>
      <c r="U141" s="73">
        <f>'[2]12. Prostredie pre život'!$H$5</f>
        <v>117930</v>
      </c>
      <c r="V141" s="73">
        <f>'[2]12. Prostredie pre život'!$I$5</f>
        <v>0</v>
      </c>
      <c r="W141" s="75">
        <f>'[2]12. Prostredie pre život'!$J$5</f>
        <v>0</v>
      </c>
    </row>
    <row r="142" spans="2:23" ht="15.75" x14ac:dyDescent="0.25">
      <c r="B142" s="70">
        <v>2</v>
      </c>
      <c r="C142" s="84" t="s">
        <v>325</v>
      </c>
      <c r="D142" s="72" t="e">
        <f t="shared" si="70"/>
        <v>#REF!</v>
      </c>
      <c r="E142" s="73" t="e">
        <f>'[2]12. Prostredie pre život'!#REF!</f>
        <v>#REF!</v>
      </c>
      <c r="F142" s="73" t="e">
        <f>'[2]12. Prostredie pre život'!#REF!</f>
        <v>#REF!</v>
      </c>
      <c r="G142" s="74" t="e">
        <f>'[2]12. Prostredie pre život'!#REF!</f>
        <v>#REF!</v>
      </c>
      <c r="H142" s="72">
        <f t="shared" si="71"/>
        <v>0</v>
      </c>
      <c r="I142" s="73">
        <v>0</v>
      </c>
      <c r="J142" s="73">
        <v>0</v>
      </c>
      <c r="K142" s="75">
        <v>0</v>
      </c>
      <c r="L142" s="76" t="e">
        <f t="shared" si="72"/>
        <v>#REF!</v>
      </c>
      <c r="M142" s="73" t="e">
        <f>'[2]12. Prostredie pre život'!#REF!</f>
        <v>#REF!</v>
      </c>
      <c r="N142" s="73" t="e">
        <f>'[2]12. Prostredie pre život'!#REF!</f>
        <v>#REF!</v>
      </c>
      <c r="O142" s="75" t="e">
        <f>'[2]12. Prostredie pre život'!#REF!</f>
        <v>#REF!</v>
      </c>
      <c r="P142" s="214">
        <v>0</v>
      </c>
      <c r="Q142" s="217">
        <v>0</v>
      </c>
      <c r="R142" s="217">
        <v>0</v>
      </c>
      <c r="S142" s="218">
        <v>0</v>
      </c>
      <c r="T142" s="76">
        <f t="shared" si="73"/>
        <v>450</v>
      </c>
      <c r="U142" s="73">
        <f>'[2]12. Prostredie pre život'!$H$19</f>
        <v>450</v>
      </c>
      <c r="V142" s="73">
        <f>'[2]12. Prostredie pre život'!$I$19</f>
        <v>0</v>
      </c>
      <c r="W142" s="75">
        <f>'[2]12. Prostredie pre život'!$J$19</f>
        <v>0</v>
      </c>
    </row>
    <row r="143" spans="2:23" ht="15.75" x14ac:dyDescent="0.25">
      <c r="B143" s="70">
        <v>3</v>
      </c>
      <c r="C143" s="84" t="s">
        <v>326</v>
      </c>
      <c r="D143" s="72" t="e">
        <f t="shared" si="70"/>
        <v>#REF!</v>
      </c>
      <c r="E143" s="73">
        <v>0</v>
      </c>
      <c r="F143" s="73">
        <v>0</v>
      </c>
      <c r="G143" s="74" t="e">
        <f>'[2]12. Prostredie pre život'!#REF!</f>
        <v>#REF!</v>
      </c>
      <c r="H143" s="72">
        <f t="shared" si="71"/>
        <v>23127</v>
      </c>
      <c r="I143" s="73">
        <v>1800</v>
      </c>
      <c r="J143" s="73">
        <v>21327</v>
      </c>
      <c r="K143" s="75">
        <v>0</v>
      </c>
      <c r="L143" s="76" t="e">
        <f t="shared" si="72"/>
        <v>#REF!</v>
      </c>
      <c r="M143" s="73">
        <v>257173</v>
      </c>
      <c r="N143" s="73" t="e">
        <f>'[2]12. Prostredie pre život'!#REF!</f>
        <v>#REF!</v>
      </c>
      <c r="O143" s="75" t="e">
        <f>'[2]12. Prostredie pre život'!#REF!</f>
        <v>#REF!</v>
      </c>
      <c r="P143" s="214">
        <v>934.03</v>
      </c>
      <c r="Q143" s="217">
        <v>784.03</v>
      </c>
      <c r="R143" s="217">
        <v>150</v>
      </c>
      <c r="S143" s="218">
        <v>0</v>
      </c>
      <c r="T143" s="76">
        <f t="shared" si="73"/>
        <v>2073201</v>
      </c>
      <c r="U143" s="73">
        <f>'[2]12. Prostredie pre život'!$H$21</f>
        <v>151902</v>
      </c>
      <c r="V143" s="73">
        <f>'[2]12. Prostredie pre život'!$I$21</f>
        <v>1921299</v>
      </c>
      <c r="W143" s="75">
        <f>'[2]12. Prostredie pre život'!$J$21</f>
        <v>0</v>
      </c>
    </row>
    <row r="144" spans="2:23" ht="15.75" x14ac:dyDescent="0.25">
      <c r="B144" s="70">
        <v>4</v>
      </c>
      <c r="C144" s="84" t="s">
        <v>327</v>
      </c>
      <c r="D144" s="72" t="e">
        <f t="shared" si="70"/>
        <v>#REF!</v>
      </c>
      <c r="E144" s="73">
        <v>352</v>
      </c>
      <c r="F144" s="73" t="e">
        <f>'[2]12. Prostredie pre život'!#REF!</f>
        <v>#REF!</v>
      </c>
      <c r="G144" s="74" t="e">
        <f>'[2]12. Prostredie pre život'!#REF!</f>
        <v>#REF!</v>
      </c>
      <c r="H144" s="72">
        <f t="shared" si="71"/>
        <v>1186</v>
      </c>
      <c r="I144" s="73">
        <v>1186</v>
      </c>
      <c r="J144" s="73">
        <v>0</v>
      </c>
      <c r="K144" s="75">
        <v>0</v>
      </c>
      <c r="L144" s="76" t="e">
        <f t="shared" si="72"/>
        <v>#REF!</v>
      </c>
      <c r="M144" s="73" t="e">
        <f>'[2]12. Prostredie pre život'!#REF!</f>
        <v>#REF!</v>
      </c>
      <c r="N144" s="73" t="e">
        <f>'[2]12. Prostredie pre život'!#REF!</f>
        <v>#REF!</v>
      </c>
      <c r="O144" s="75" t="e">
        <f>'[2]12. Prostredie pre život'!#REF!</f>
        <v>#REF!</v>
      </c>
      <c r="P144" s="214">
        <v>2816.2</v>
      </c>
      <c r="Q144" s="217">
        <v>2816.2</v>
      </c>
      <c r="R144" s="217">
        <v>0</v>
      </c>
      <c r="S144" s="218">
        <v>0</v>
      </c>
      <c r="T144" s="76">
        <f t="shared" si="73"/>
        <v>2850</v>
      </c>
      <c r="U144" s="73">
        <f>'[2]12. Prostredie pre život'!$H$39</f>
        <v>2850</v>
      </c>
      <c r="V144" s="73">
        <f>'[2]12. Prostredie pre život'!$I$39</f>
        <v>0</v>
      </c>
      <c r="W144" s="75">
        <f>'[2]12. Prostredie pre život'!$J$39</f>
        <v>0</v>
      </c>
    </row>
    <row r="145" spans="1:23" ht="16.5" x14ac:dyDescent="0.3">
      <c r="B145" s="193" t="s">
        <v>328</v>
      </c>
      <c r="C145" s="189" t="s">
        <v>329</v>
      </c>
      <c r="D145" s="171" t="e">
        <f t="shared" si="70"/>
        <v>#REF!</v>
      </c>
      <c r="E145" s="172">
        <v>3182</v>
      </c>
      <c r="F145" s="172" t="e">
        <f>'[2]12. Prostredie pre život'!#REF!</f>
        <v>#REF!</v>
      </c>
      <c r="G145" s="173" t="e">
        <f>'[2]12. Prostredie pre život'!#REF!</f>
        <v>#REF!</v>
      </c>
      <c r="H145" s="171">
        <f t="shared" si="71"/>
        <v>0</v>
      </c>
      <c r="I145" s="172">
        <v>0</v>
      </c>
      <c r="J145" s="172">
        <v>0</v>
      </c>
      <c r="K145" s="174">
        <v>0</v>
      </c>
      <c r="L145" s="175" t="e">
        <f t="shared" si="72"/>
        <v>#REF!</v>
      </c>
      <c r="M145" s="172" t="e">
        <f>'[2]12. Prostredie pre život'!#REF!</f>
        <v>#REF!</v>
      </c>
      <c r="N145" s="172" t="e">
        <f>'[2]12. Prostredie pre život'!#REF!</f>
        <v>#REF!</v>
      </c>
      <c r="O145" s="174" t="e">
        <f>'[2]12. Prostredie pre život'!#REF!</f>
        <v>#REF!</v>
      </c>
      <c r="P145" s="214">
        <v>0</v>
      </c>
      <c r="Q145" s="215">
        <v>0</v>
      </c>
      <c r="R145" s="215">
        <v>0</v>
      </c>
      <c r="S145" s="216">
        <v>0</v>
      </c>
      <c r="T145" s="175">
        <f t="shared" si="73"/>
        <v>1825</v>
      </c>
      <c r="U145" s="172">
        <f>'[2]12. Prostredie pre život'!$H$45</f>
        <v>1825</v>
      </c>
      <c r="V145" s="172">
        <f>'[2]12. Prostredie pre život'!$I$45</f>
        <v>0</v>
      </c>
      <c r="W145" s="174">
        <f>'[2]12. Prostredie pre život'!$J$45</f>
        <v>0</v>
      </c>
    </row>
    <row r="146" spans="1:23" ht="16.5" x14ac:dyDescent="0.3">
      <c r="A146" s="85"/>
      <c r="B146" s="206" t="s">
        <v>330</v>
      </c>
      <c r="C146" s="189" t="s">
        <v>331</v>
      </c>
      <c r="D146" s="171" t="e">
        <f t="shared" si="70"/>
        <v>#REF!</v>
      </c>
      <c r="E146" s="172">
        <v>3711</v>
      </c>
      <c r="F146" s="172" t="e">
        <f>'[2]12. Prostredie pre život'!#REF!</f>
        <v>#REF!</v>
      </c>
      <c r="G146" s="173" t="e">
        <f>'[2]12. Prostredie pre život'!#REF!</f>
        <v>#REF!</v>
      </c>
      <c r="H146" s="171">
        <f t="shared" si="71"/>
        <v>1180</v>
      </c>
      <c r="I146" s="172">
        <v>1180</v>
      </c>
      <c r="J146" s="172">
        <v>0</v>
      </c>
      <c r="K146" s="174">
        <v>0</v>
      </c>
      <c r="L146" s="175" t="e">
        <f t="shared" si="72"/>
        <v>#REF!</v>
      </c>
      <c r="M146" s="172" t="e">
        <f>'[2]12. Prostredie pre život'!#REF!</f>
        <v>#REF!</v>
      </c>
      <c r="N146" s="172" t="e">
        <f>'[2]12. Prostredie pre život'!#REF!</f>
        <v>#REF!</v>
      </c>
      <c r="O146" s="174" t="e">
        <f>'[2]12. Prostredie pre život'!#REF!</f>
        <v>#REF!</v>
      </c>
      <c r="P146" s="214">
        <v>4522.07</v>
      </c>
      <c r="Q146" s="215">
        <v>4522.07</v>
      </c>
      <c r="R146" s="215">
        <v>0</v>
      </c>
      <c r="S146" s="216">
        <v>0</v>
      </c>
      <c r="T146" s="175">
        <f t="shared" si="73"/>
        <v>13840</v>
      </c>
      <c r="U146" s="172">
        <f>'[2]12. Prostredie pre život'!$H$48</f>
        <v>6840</v>
      </c>
      <c r="V146" s="172">
        <f>'[2]12. Prostredie pre život'!$I$48</f>
        <v>7000</v>
      </c>
      <c r="W146" s="174">
        <f>'[2]12. Prostredie pre život'!$J$48</f>
        <v>0</v>
      </c>
    </row>
    <row r="147" spans="1:23" ht="16.5" x14ac:dyDescent="0.3">
      <c r="A147" s="85"/>
      <c r="B147" s="206" t="s">
        <v>332</v>
      </c>
      <c r="C147" s="189" t="s">
        <v>333</v>
      </c>
      <c r="D147" s="171" t="e">
        <f t="shared" si="70"/>
        <v>#REF!</v>
      </c>
      <c r="E147" s="172">
        <v>164</v>
      </c>
      <c r="F147" s="172" t="e">
        <f>'[2]12. Prostredie pre život'!#REF!</f>
        <v>#REF!</v>
      </c>
      <c r="G147" s="173" t="e">
        <f>'[2]12. Prostredie pre život'!#REF!</f>
        <v>#REF!</v>
      </c>
      <c r="H147" s="171">
        <f t="shared" si="71"/>
        <v>248</v>
      </c>
      <c r="I147" s="172">
        <v>248</v>
      </c>
      <c r="J147" s="172">
        <v>0</v>
      </c>
      <c r="K147" s="174">
        <v>0</v>
      </c>
      <c r="L147" s="175" t="e">
        <f t="shared" si="72"/>
        <v>#REF!</v>
      </c>
      <c r="M147" s="172" t="e">
        <f>'[2]12. Prostredie pre život'!#REF!</f>
        <v>#REF!</v>
      </c>
      <c r="N147" s="172" t="e">
        <f>'[2]12. Prostredie pre život'!#REF!</f>
        <v>#REF!</v>
      </c>
      <c r="O147" s="174" t="e">
        <f>'[2]12. Prostredie pre život'!#REF!</f>
        <v>#REF!</v>
      </c>
      <c r="P147" s="214">
        <v>77.87</v>
      </c>
      <c r="Q147" s="215">
        <v>77.87</v>
      </c>
      <c r="R147" s="215">
        <v>0</v>
      </c>
      <c r="S147" s="216">
        <v>0</v>
      </c>
      <c r="T147" s="175">
        <f t="shared" si="73"/>
        <v>75</v>
      </c>
      <c r="U147" s="172">
        <f>'[2]12. Prostredie pre život'!$H$60</f>
        <v>75</v>
      </c>
      <c r="V147" s="172">
        <f>'[2]12. Prostredie pre život'!$I$60</f>
        <v>0</v>
      </c>
      <c r="W147" s="174">
        <f>'[2]12. Prostredie pre život'!$J$60</f>
        <v>0</v>
      </c>
    </row>
    <row r="148" spans="1:23" ht="16.5" x14ac:dyDescent="0.3">
      <c r="A148" s="85"/>
      <c r="B148" s="206" t="s">
        <v>334</v>
      </c>
      <c r="C148" s="189" t="s">
        <v>335</v>
      </c>
      <c r="D148" s="171" t="e">
        <f t="shared" si="70"/>
        <v>#REF!</v>
      </c>
      <c r="E148" s="172">
        <v>20655</v>
      </c>
      <c r="F148" s="172" t="e">
        <f>'[2]12. Prostredie pre život'!#REF!</f>
        <v>#REF!</v>
      </c>
      <c r="G148" s="173" t="e">
        <f>'[2]12. Prostredie pre život'!#REF!</f>
        <v>#REF!</v>
      </c>
      <c r="H148" s="171">
        <f t="shared" si="71"/>
        <v>15798</v>
      </c>
      <c r="I148" s="172">
        <v>15798</v>
      </c>
      <c r="J148" s="172">
        <v>0</v>
      </c>
      <c r="K148" s="174">
        <v>0</v>
      </c>
      <c r="L148" s="175" t="e">
        <f t="shared" si="72"/>
        <v>#REF!</v>
      </c>
      <c r="M148" s="172" t="e">
        <f>'[2]12. Prostredie pre život'!#REF!</f>
        <v>#REF!</v>
      </c>
      <c r="N148" s="172" t="e">
        <f>'[2]12. Prostredie pre život'!#REF!</f>
        <v>#REF!</v>
      </c>
      <c r="O148" s="174" t="e">
        <f>'[2]12. Prostredie pre život'!#REF!</f>
        <v>#REF!</v>
      </c>
      <c r="P148" s="214">
        <v>15647.47</v>
      </c>
      <c r="Q148" s="215">
        <v>15647.47</v>
      </c>
      <c r="R148" s="215">
        <v>0</v>
      </c>
      <c r="S148" s="216">
        <v>0</v>
      </c>
      <c r="T148" s="175">
        <f t="shared" si="73"/>
        <v>19460</v>
      </c>
      <c r="U148" s="172">
        <f>'[2]12. Prostredie pre život'!$H$62</f>
        <v>19460</v>
      </c>
      <c r="V148" s="172">
        <f>'[2]12. Prostredie pre život'!$I$62</f>
        <v>0</v>
      </c>
      <c r="W148" s="174">
        <f>'[2]12. Prostredie pre život'!$J$62</f>
        <v>0</v>
      </c>
    </row>
    <row r="149" spans="1:23" ht="16.5" x14ac:dyDescent="0.3">
      <c r="A149" s="85"/>
      <c r="B149" s="207" t="s">
        <v>336</v>
      </c>
      <c r="C149" s="208" t="s">
        <v>337</v>
      </c>
      <c r="D149" s="186" t="e">
        <f t="shared" si="70"/>
        <v>#REF!</v>
      </c>
      <c r="E149" s="181">
        <v>11753.49</v>
      </c>
      <c r="F149" s="181">
        <v>0</v>
      </c>
      <c r="G149" s="209" t="e">
        <f>'[2]12. Prostredie pre život'!#REF!</f>
        <v>#REF!</v>
      </c>
      <c r="H149" s="171">
        <f t="shared" si="71"/>
        <v>10452.49</v>
      </c>
      <c r="I149" s="172">
        <v>10452.49</v>
      </c>
      <c r="J149" s="172">
        <v>0</v>
      </c>
      <c r="K149" s="174">
        <v>0</v>
      </c>
      <c r="L149" s="183" t="e">
        <f t="shared" si="72"/>
        <v>#REF!</v>
      </c>
      <c r="M149" s="181" t="e">
        <f>'[2]12. Prostredie pre život'!#REF!</f>
        <v>#REF!</v>
      </c>
      <c r="N149" s="181" t="e">
        <f>'[2]12. Prostredie pre život'!#REF!</f>
        <v>#REF!</v>
      </c>
      <c r="O149" s="182" t="e">
        <f>'[2]12. Prostredie pre život'!#REF!</f>
        <v>#REF!</v>
      </c>
      <c r="P149" s="219">
        <v>12844.74</v>
      </c>
      <c r="Q149" s="220">
        <v>12844.74</v>
      </c>
      <c r="R149" s="220">
        <v>0</v>
      </c>
      <c r="S149" s="221">
        <v>0</v>
      </c>
      <c r="T149" s="183">
        <f t="shared" si="73"/>
        <v>37430</v>
      </c>
      <c r="U149" s="181">
        <f>'[2]12. Prostredie pre život'!$H$69</f>
        <v>28950</v>
      </c>
      <c r="V149" s="181">
        <f>'[2]12. Prostredie pre život'!$I$69</f>
        <v>8480</v>
      </c>
      <c r="W149" s="182">
        <f>'[2]12. Prostredie pre život'!$J$69</f>
        <v>0</v>
      </c>
    </row>
    <row r="150" spans="1:23" ht="16.5" thickBot="1" x14ac:dyDescent="0.3">
      <c r="A150" s="85"/>
      <c r="B150" s="210" t="s">
        <v>338</v>
      </c>
      <c r="C150" s="185" t="s">
        <v>339</v>
      </c>
      <c r="D150" s="178" t="e">
        <f t="shared" si="70"/>
        <v>#REF!</v>
      </c>
      <c r="E150" s="179">
        <v>4000</v>
      </c>
      <c r="F150" s="179" t="e">
        <f>'[2]12. Prostredie pre život'!#REF!</f>
        <v>#REF!</v>
      </c>
      <c r="G150" s="180" t="e">
        <f>'[2]12. Prostredie pre život'!#REF!</f>
        <v>#REF!</v>
      </c>
      <c r="H150" s="186">
        <f t="shared" si="71"/>
        <v>0</v>
      </c>
      <c r="I150" s="181">
        <v>0</v>
      </c>
      <c r="J150" s="181">
        <v>0</v>
      </c>
      <c r="K150" s="182">
        <v>0</v>
      </c>
      <c r="L150" s="187" t="e">
        <f t="shared" si="72"/>
        <v>#REF!</v>
      </c>
      <c r="M150" s="179" t="e">
        <f>'[2]12. Prostredie pre život'!#REF!</f>
        <v>#REF!</v>
      </c>
      <c r="N150" s="179" t="e">
        <f>'[2]12. Prostredie pre život'!#REF!</f>
        <v>#REF!</v>
      </c>
      <c r="O150" s="188" t="e">
        <f>'[2]12. Prostredie pre život'!#REF!</f>
        <v>#REF!</v>
      </c>
      <c r="P150" s="224">
        <v>0</v>
      </c>
      <c r="Q150" s="225">
        <v>0</v>
      </c>
      <c r="R150" s="225">
        <v>0</v>
      </c>
      <c r="S150" s="226">
        <v>0</v>
      </c>
      <c r="T150" s="187">
        <f t="shared" si="73"/>
        <v>0</v>
      </c>
      <c r="U150" s="179">
        <f>'[2]12. Prostredie pre život'!$H$98</f>
        <v>0</v>
      </c>
      <c r="V150" s="179">
        <f>'[2]12. Prostredie pre život'!$I$98</f>
        <v>0</v>
      </c>
      <c r="W150" s="188">
        <f>'[2]12. Prostredie pre život'!$J$98</f>
        <v>0</v>
      </c>
    </row>
    <row r="151" spans="1:23" s="63" customFormat="1" ht="14.25" x14ac:dyDescent="0.2">
      <c r="A151" s="93"/>
      <c r="B151" s="159" t="s">
        <v>340</v>
      </c>
      <c r="C151" s="160" t="s">
        <v>341</v>
      </c>
      <c r="D151" s="149" t="e">
        <f t="shared" ref="D151:W151" si="74">D152+D156+D161+D165+D169+D170+D171+D173</f>
        <v>#REF!</v>
      </c>
      <c r="E151" s="150">
        <f t="shared" si="74"/>
        <v>478345</v>
      </c>
      <c r="F151" s="150" t="e">
        <f t="shared" si="74"/>
        <v>#REF!</v>
      </c>
      <c r="G151" s="151" t="e">
        <f t="shared" si="74"/>
        <v>#REF!</v>
      </c>
      <c r="H151" s="149" t="e">
        <f t="shared" si="74"/>
        <v>#REF!</v>
      </c>
      <c r="I151" s="150" t="e">
        <f t="shared" si="74"/>
        <v>#REF!</v>
      </c>
      <c r="J151" s="150">
        <f t="shared" si="74"/>
        <v>0</v>
      </c>
      <c r="K151" s="152">
        <f t="shared" si="74"/>
        <v>0</v>
      </c>
      <c r="L151" s="153" t="e">
        <f t="shared" si="74"/>
        <v>#REF!</v>
      </c>
      <c r="M151" s="150" t="e">
        <f t="shared" si="74"/>
        <v>#REF!</v>
      </c>
      <c r="N151" s="150" t="e">
        <f t="shared" si="74"/>
        <v>#REF!</v>
      </c>
      <c r="O151" s="152" t="e">
        <f t="shared" si="74"/>
        <v>#REF!</v>
      </c>
      <c r="P151" s="222">
        <v>568946.19999999995</v>
      </c>
      <c r="Q151" s="223">
        <v>554686.36</v>
      </c>
      <c r="R151" s="223">
        <v>14259.84</v>
      </c>
      <c r="S151" s="227">
        <v>0</v>
      </c>
      <c r="T151" s="153" t="e">
        <f t="shared" si="74"/>
        <v>#REF!</v>
      </c>
      <c r="U151" s="150">
        <f t="shared" si="74"/>
        <v>27768</v>
      </c>
      <c r="V151" s="150" t="e">
        <f t="shared" si="74"/>
        <v>#REF!</v>
      </c>
      <c r="W151" s="152" t="e">
        <f t="shared" si="74"/>
        <v>#REF!</v>
      </c>
    </row>
    <row r="152" spans="1:23" ht="15.75" x14ac:dyDescent="0.25">
      <c r="A152" s="85"/>
      <c r="B152" s="193" t="s">
        <v>342</v>
      </c>
      <c r="C152" s="184" t="s">
        <v>343</v>
      </c>
      <c r="D152" s="171" t="e">
        <f t="shared" ref="D152:W152" si="75">SUM(D153:D155)</f>
        <v>#REF!</v>
      </c>
      <c r="E152" s="172">
        <f t="shared" si="75"/>
        <v>16490</v>
      </c>
      <c r="F152" s="172" t="e">
        <f t="shared" si="75"/>
        <v>#REF!</v>
      </c>
      <c r="G152" s="173" t="e">
        <f t="shared" si="75"/>
        <v>#REF!</v>
      </c>
      <c r="H152" s="171">
        <f t="shared" si="75"/>
        <v>21830</v>
      </c>
      <c r="I152" s="172">
        <f t="shared" si="75"/>
        <v>21830</v>
      </c>
      <c r="J152" s="172">
        <f t="shared" si="75"/>
        <v>0</v>
      </c>
      <c r="K152" s="174">
        <f t="shared" si="75"/>
        <v>0</v>
      </c>
      <c r="L152" s="175" t="e">
        <f t="shared" si="75"/>
        <v>#REF!</v>
      </c>
      <c r="M152" s="172" t="e">
        <f t="shared" si="75"/>
        <v>#REF!</v>
      </c>
      <c r="N152" s="172" t="e">
        <f t="shared" si="75"/>
        <v>#REF!</v>
      </c>
      <c r="O152" s="174" t="e">
        <f t="shared" si="75"/>
        <v>#REF!</v>
      </c>
      <c r="P152" s="214">
        <v>34492.82</v>
      </c>
      <c r="Q152" s="215">
        <v>34492.82</v>
      </c>
      <c r="R152" s="215">
        <v>0</v>
      </c>
      <c r="S152" s="216">
        <v>0</v>
      </c>
      <c r="T152" s="175" t="e">
        <f t="shared" si="75"/>
        <v>#REF!</v>
      </c>
      <c r="U152" s="172">
        <f t="shared" si="75"/>
        <v>2000</v>
      </c>
      <c r="V152" s="172" t="e">
        <f t="shared" si="75"/>
        <v>#REF!</v>
      </c>
      <c r="W152" s="174" t="e">
        <f t="shared" si="75"/>
        <v>#REF!</v>
      </c>
    </row>
    <row r="153" spans="1:23" ht="15.75" x14ac:dyDescent="0.25">
      <c r="A153" s="85"/>
      <c r="B153" s="70">
        <v>1</v>
      </c>
      <c r="C153" s="84" t="s">
        <v>344</v>
      </c>
      <c r="D153" s="72" t="e">
        <f>SUM(E153:G153)</f>
        <v>#REF!</v>
      </c>
      <c r="E153" s="73">
        <v>14860</v>
      </c>
      <c r="F153" s="73" t="e">
        <f>'[2]13. Sociálna starostlivosť'!#REF!</f>
        <v>#REF!</v>
      </c>
      <c r="G153" s="74" t="e">
        <f>'[2]13. Sociálna starostlivosť'!#REF!</f>
        <v>#REF!</v>
      </c>
      <c r="H153" s="72">
        <f>SUM(I153:K153)</f>
        <v>12090</v>
      </c>
      <c r="I153" s="73">
        <v>12090</v>
      </c>
      <c r="J153" s="73">
        <v>0</v>
      </c>
      <c r="K153" s="75">
        <v>0</v>
      </c>
      <c r="L153" s="76" t="e">
        <f>SUM(M153:O153)</f>
        <v>#REF!</v>
      </c>
      <c r="M153" s="73">
        <v>15210</v>
      </c>
      <c r="N153" s="73" t="e">
        <f>'[2]13. Sociálna starostlivosť'!#REF!</f>
        <v>#REF!</v>
      </c>
      <c r="O153" s="75" t="e">
        <f>'[2]13. Sociálna starostlivosť'!#REF!</f>
        <v>#REF!</v>
      </c>
      <c r="P153" s="214">
        <v>15210</v>
      </c>
      <c r="Q153" s="217">
        <v>15210</v>
      </c>
      <c r="R153" s="217">
        <v>0</v>
      </c>
      <c r="S153" s="218">
        <v>0</v>
      </c>
      <c r="T153" s="76" t="e">
        <f>SUM(U153:W153)</f>
        <v>#REF!</v>
      </c>
      <c r="U153" s="73">
        <f>'[2]13. Sociálna starostlivosť'!$H$5</f>
        <v>0</v>
      </c>
      <c r="V153" s="73">
        <f>'[2]13. Sociálna starostlivosť'!$I$5</f>
        <v>0</v>
      </c>
      <c r="W153" s="75" t="e">
        <f>'[2]13. Sociálna starostlivosť'!$J$5</f>
        <v>#REF!</v>
      </c>
    </row>
    <row r="154" spans="1:23" ht="15.75" x14ac:dyDescent="0.25">
      <c r="A154" s="85"/>
      <c r="B154" s="70">
        <v>2</v>
      </c>
      <c r="C154" s="84" t="s">
        <v>345</v>
      </c>
      <c r="D154" s="72" t="e">
        <f>SUM(E154:G154)</f>
        <v>#REF!</v>
      </c>
      <c r="E154" s="73">
        <v>1630</v>
      </c>
      <c r="F154" s="73" t="e">
        <f>'[2]13. Sociálna starostlivosť'!#REF!</f>
        <v>#REF!</v>
      </c>
      <c r="G154" s="74" t="e">
        <f>'[2]13. Sociálna starostlivosť'!#REF!</f>
        <v>#REF!</v>
      </c>
      <c r="H154" s="72">
        <f>SUM(I154:K154)</f>
        <v>9740</v>
      </c>
      <c r="I154" s="73">
        <v>9740</v>
      </c>
      <c r="J154" s="73">
        <v>0</v>
      </c>
      <c r="K154" s="75">
        <v>0</v>
      </c>
      <c r="L154" s="76" t="e">
        <f>SUM(M154:O154)</f>
        <v>#REF!</v>
      </c>
      <c r="M154" s="73">
        <v>4010</v>
      </c>
      <c r="N154" s="73" t="e">
        <f>'[2]13. Sociálna starostlivosť'!#REF!</f>
        <v>#REF!</v>
      </c>
      <c r="O154" s="75" t="e">
        <f>'[2]13. Sociálna starostlivosť'!#REF!</f>
        <v>#REF!</v>
      </c>
      <c r="P154" s="214">
        <v>18000</v>
      </c>
      <c r="Q154" s="217">
        <v>18000</v>
      </c>
      <c r="R154" s="217">
        <v>0</v>
      </c>
      <c r="S154" s="218">
        <v>0</v>
      </c>
      <c r="T154" s="76" t="e">
        <f>SUM(U154:W154)</f>
        <v>#REF!</v>
      </c>
      <c r="U154" s="73">
        <f>'[2]13. Sociálna starostlivosť'!$H$7</f>
        <v>0</v>
      </c>
      <c r="V154" s="73" t="e">
        <f>'[2]13. Sociálna starostlivosť'!$I$7</f>
        <v>#REF!</v>
      </c>
      <c r="W154" s="75" t="e">
        <f>'[2]13. Sociálna starostlivosť'!$J$7</f>
        <v>#REF!</v>
      </c>
    </row>
    <row r="155" spans="1:23" ht="15.75" x14ac:dyDescent="0.25">
      <c r="A155" s="85"/>
      <c r="B155" s="70">
        <v>3</v>
      </c>
      <c r="C155" s="84" t="s">
        <v>346</v>
      </c>
      <c r="D155" s="72" t="e">
        <f>SUM(E155:G155)</f>
        <v>#REF!</v>
      </c>
      <c r="E155" s="73">
        <v>0</v>
      </c>
      <c r="F155" s="73" t="e">
        <f>'[2]13. Sociálna starostlivosť'!#REF!</f>
        <v>#REF!</v>
      </c>
      <c r="G155" s="74" t="e">
        <f>'[2]13. Sociálna starostlivosť'!#REF!</f>
        <v>#REF!</v>
      </c>
      <c r="H155" s="72">
        <f>SUM(I155:K155)</f>
        <v>0</v>
      </c>
      <c r="I155" s="73">
        <v>0</v>
      </c>
      <c r="J155" s="73">
        <v>0</v>
      </c>
      <c r="K155" s="75">
        <v>0</v>
      </c>
      <c r="L155" s="76" t="e">
        <f>SUM(M155:O155)</f>
        <v>#REF!</v>
      </c>
      <c r="M155" s="73" t="e">
        <f>'[2]13. Sociálna starostlivosť'!#REF!</f>
        <v>#REF!</v>
      </c>
      <c r="N155" s="73" t="e">
        <f>'[2]13. Sociálna starostlivosť'!#REF!</f>
        <v>#REF!</v>
      </c>
      <c r="O155" s="75" t="e">
        <f>'[2]13. Sociálna starostlivosť'!#REF!</f>
        <v>#REF!</v>
      </c>
      <c r="P155" s="214">
        <v>1282.82</v>
      </c>
      <c r="Q155" s="217">
        <v>1282.82</v>
      </c>
      <c r="R155" s="217">
        <v>0</v>
      </c>
      <c r="S155" s="218">
        <v>0</v>
      </c>
      <c r="T155" s="76">
        <f>SUM(U155:W155)</f>
        <v>2000</v>
      </c>
      <c r="U155" s="73">
        <f>'[2]13. Sociálna starostlivosť'!$H$8</f>
        <v>2000</v>
      </c>
      <c r="V155" s="73">
        <f>'[2]13. Sociálna starostlivosť'!$I$8</f>
        <v>0</v>
      </c>
      <c r="W155" s="75">
        <f>'[2]13. Sociálna starostlivosť'!$J$8</f>
        <v>0</v>
      </c>
    </row>
    <row r="156" spans="1:23" ht="15.75" x14ac:dyDescent="0.25">
      <c r="A156" s="93"/>
      <c r="B156" s="193" t="s">
        <v>347</v>
      </c>
      <c r="C156" s="184" t="s">
        <v>348</v>
      </c>
      <c r="D156" s="171" t="e">
        <f t="shared" ref="D156:W156" si="76">SUM(D157:D160)</f>
        <v>#REF!</v>
      </c>
      <c r="E156" s="172">
        <f t="shared" si="76"/>
        <v>174640</v>
      </c>
      <c r="F156" s="172" t="e">
        <f t="shared" si="76"/>
        <v>#REF!</v>
      </c>
      <c r="G156" s="173" t="e">
        <f t="shared" si="76"/>
        <v>#REF!</v>
      </c>
      <c r="H156" s="171">
        <f t="shared" si="76"/>
        <v>284247</v>
      </c>
      <c r="I156" s="172">
        <f t="shared" si="76"/>
        <v>284247</v>
      </c>
      <c r="J156" s="172">
        <f t="shared" si="76"/>
        <v>0</v>
      </c>
      <c r="K156" s="174">
        <f t="shared" si="76"/>
        <v>0</v>
      </c>
      <c r="L156" s="175" t="e">
        <f t="shared" si="76"/>
        <v>#REF!</v>
      </c>
      <c r="M156" s="172" t="e">
        <f t="shared" si="76"/>
        <v>#REF!</v>
      </c>
      <c r="N156" s="172" t="e">
        <f t="shared" si="76"/>
        <v>#REF!</v>
      </c>
      <c r="O156" s="174" t="e">
        <f t="shared" si="76"/>
        <v>#REF!</v>
      </c>
      <c r="P156" s="214">
        <v>326578.67</v>
      </c>
      <c r="Q156" s="215">
        <v>315061.67</v>
      </c>
      <c r="R156" s="215">
        <v>11517</v>
      </c>
      <c r="S156" s="216">
        <v>0</v>
      </c>
      <c r="T156" s="175" t="e">
        <f t="shared" si="76"/>
        <v>#REF!</v>
      </c>
      <c r="U156" s="172">
        <f t="shared" si="76"/>
        <v>7850</v>
      </c>
      <c r="V156" s="172" t="e">
        <f t="shared" si="76"/>
        <v>#REF!</v>
      </c>
      <c r="W156" s="174" t="e">
        <f t="shared" si="76"/>
        <v>#REF!</v>
      </c>
    </row>
    <row r="157" spans="1:23" ht="15.75" x14ac:dyDescent="0.25">
      <c r="A157" s="93"/>
      <c r="B157" s="70">
        <v>1</v>
      </c>
      <c r="C157" s="84" t="s">
        <v>349</v>
      </c>
      <c r="D157" s="72" t="e">
        <f>SUM(E157:G157)</f>
        <v>#REF!</v>
      </c>
      <c r="E157" s="73">
        <v>112320</v>
      </c>
      <c r="F157" s="73" t="e">
        <f>'[2]13. Sociálna starostlivosť'!#REF!</f>
        <v>#REF!</v>
      </c>
      <c r="G157" s="74" t="e">
        <f>'[2]13. Sociálna starostlivosť'!#REF!</f>
        <v>#REF!</v>
      </c>
      <c r="H157" s="72">
        <f>SUM(I157:K157)</f>
        <v>219207</v>
      </c>
      <c r="I157" s="73">
        <v>219207</v>
      </c>
      <c r="J157" s="73">
        <v>0</v>
      </c>
      <c r="K157" s="75">
        <v>0</v>
      </c>
      <c r="L157" s="76" t="e">
        <f>SUM(M157:O157)</f>
        <v>#REF!</v>
      </c>
      <c r="M157" s="73">
        <v>226400</v>
      </c>
      <c r="N157" s="73" t="e">
        <f>'[2]13. Sociálna starostlivosť'!#REF!</f>
        <v>#REF!</v>
      </c>
      <c r="O157" s="75" t="e">
        <f>'[2]13. Sociálna starostlivosť'!#REF!</f>
        <v>#REF!</v>
      </c>
      <c r="P157" s="214">
        <v>237717</v>
      </c>
      <c r="Q157" s="217">
        <v>226200</v>
      </c>
      <c r="R157" s="217">
        <v>11517</v>
      </c>
      <c r="S157" s="218">
        <v>0</v>
      </c>
      <c r="T157" s="76">
        <f>SUM(U157:W157)</f>
        <v>155</v>
      </c>
      <c r="U157" s="73">
        <f>'[2]13. Sociálna starostlivosť'!$H$11</f>
        <v>155</v>
      </c>
      <c r="V157" s="73">
        <f>'[2]13. Sociálna starostlivosť'!$I$11</f>
        <v>0</v>
      </c>
      <c r="W157" s="75">
        <f>'[2]13. Sociálna starostlivosť'!$J$11</f>
        <v>0</v>
      </c>
    </row>
    <row r="158" spans="1:23" ht="15.75" x14ac:dyDescent="0.25">
      <c r="A158" s="93"/>
      <c r="B158" s="70">
        <v>2</v>
      </c>
      <c r="C158" s="84" t="s">
        <v>350</v>
      </c>
      <c r="D158" s="72" t="e">
        <f>SUM(E158:G158)</f>
        <v>#REF!</v>
      </c>
      <c r="E158" s="73">
        <v>49250</v>
      </c>
      <c r="F158" s="73" t="e">
        <f>'[2]13. Sociálna starostlivosť'!#REF!</f>
        <v>#REF!</v>
      </c>
      <c r="G158" s="74" t="e">
        <f>'[2]13. Sociálna starostlivosť'!#REF!</f>
        <v>#REF!</v>
      </c>
      <c r="H158" s="72">
        <f>SUM(I158:K158)</f>
        <v>54130</v>
      </c>
      <c r="I158" s="73">
        <v>54130</v>
      </c>
      <c r="J158" s="73">
        <v>0</v>
      </c>
      <c r="K158" s="75">
        <v>0</v>
      </c>
      <c r="L158" s="76" t="e">
        <f>SUM(M158:O158)</f>
        <v>#REF!</v>
      </c>
      <c r="M158" s="73">
        <v>52150</v>
      </c>
      <c r="N158" s="73" t="e">
        <f>'[2]13. Sociálna starostlivosť'!#REF!</f>
        <v>#REF!</v>
      </c>
      <c r="O158" s="75" t="e">
        <f>'[2]13. Sociálna starostlivosť'!#REF!</f>
        <v>#REF!</v>
      </c>
      <c r="P158" s="214">
        <v>52150</v>
      </c>
      <c r="Q158" s="217">
        <v>52150</v>
      </c>
      <c r="R158" s="217">
        <v>0</v>
      </c>
      <c r="S158" s="218">
        <v>0</v>
      </c>
      <c r="T158" s="76" t="e">
        <f>SUM(U158:W158)</f>
        <v>#REF!</v>
      </c>
      <c r="U158" s="73">
        <f>'[2]13. Sociálna starostlivosť'!$H$17</f>
        <v>0</v>
      </c>
      <c r="V158" s="73" t="e">
        <f>'[2]13. Sociálna starostlivosť'!$I$17</f>
        <v>#REF!</v>
      </c>
      <c r="W158" s="75" t="e">
        <f>'[2]13. Sociálna starostlivosť'!$J$17</f>
        <v>#REF!</v>
      </c>
    </row>
    <row r="159" spans="1:23" ht="15.75" x14ac:dyDescent="0.25">
      <c r="A159" s="93"/>
      <c r="B159" s="70">
        <v>3</v>
      </c>
      <c r="C159" s="84" t="s">
        <v>351</v>
      </c>
      <c r="D159" s="72" t="e">
        <f>SUM(E159:G159)</f>
        <v>#REF!</v>
      </c>
      <c r="E159" s="73">
        <v>0</v>
      </c>
      <c r="F159" s="73" t="e">
        <f>'[2]13. Sociálna starostlivosť'!#REF!</f>
        <v>#REF!</v>
      </c>
      <c r="G159" s="74" t="e">
        <f>'[2]13. Sociálna starostlivosť'!#REF!</f>
        <v>#REF!</v>
      </c>
      <c r="H159" s="72">
        <f>SUM(I159:K159)</f>
        <v>6950</v>
      </c>
      <c r="I159" s="73">
        <v>6950</v>
      </c>
      <c r="J159" s="73">
        <v>0</v>
      </c>
      <c r="K159" s="75">
        <v>0</v>
      </c>
      <c r="L159" s="76" t="e">
        <f>SUM(M159:O159)</f>
        <v>#REF!</v>
      </c>
      <c r="M159" s="73" t="e">
        <f>'[2]13. Sociálna starostlivosť'!#REF!</f>
        <v>#REF!</v>
      </c>
      <c r="N159" s="73" t="e">
        <f>'[2]13. Sociálna starostlivosť'!#REF!</f>
        <v>#REF!</v>
      </c>
      <c r="O159" s="75" t="e">
        <f>'[2]13. Sociálna starostlivosť'!#REF!</f>
        <v>#REF!</v>
      </c>
      <c r="P159" s="214">
        <v>10011.67</v>
      </c>
      <c r="Q159" s="217">
        <v>10011.67</v>
      </c>
      <c r="R159" s="217">
        <v>0</v>
      </c>
      <c r="S159" s="218">
        <v>0</v>
      </c>
      <c r="T159" s="76">
        <f>SUM(U159:W159)</f>
        <v>7695</v>
      </c>
      <c r="U159" s="73">
        <f>'[2]13. Sociálna starostlivosť'!$H$18</f>
        <v>7695</v>
      </c>
      <c r="V159" s="73">
        <f>'[2]13. Sociálna starostlivosť'!$I$18</f>
        <v>0</v>
      </c>
      <c r="W159" s="75">
        <f>'[2]13. Sociálna starostlivosť'!$J$18</f>
        <v>0</v>
      </c>
    </row>
    <row r="160" spans="1:23" ht="15.75" x14ac:dyDescent="0.25">
      <c r="A160" s="93"/>
      <c r="B160" s="70">
        <v>4</v>
      </c>
      <c r="C160" s="84" t="s">
        <v>352</v>
      </c>
      <c r="D160" s="72" t="e">
        <f>SUM(E160:G160)</f>
        <v>#REF!</v>
      </c>
      <c r="E160" s="73">
        <v>13070</v>
      </c>
      <c r="F160" s="73" t="e">
        <f>'[2]13. Sociálna starostlivosť'!#REF!</f>
        <v>#REF!</v>
      </c>
      <c r="G160" s="74" t="e">
        <f>'[2]13. Sociálna starostlivosť'!#REF!</f>
        <v>#REF!</v>
      </c>
      <c r="H160" s="72">
        <f>SUM(I160:K160)</f>
        <v>3960</v>
      </c>
      <c r="I160" s="73">
        <v>3960</v>
      </c>
      <c r="J160" s="73">
        <v>0</v>
      </c>
      <c r="K160" s="75">
        <v>0</v>
      </c>
      <c r="L160" s="76" t="e">
        <f>SUM(M160:O160)</f>
        <v>#REF!</v>
      </c>
      <c r="M160" s="73">
        <v>26700</v>
      </c>
      <c r="N160" s="73" t="e">
        <f>'[2]13. Sociálna starostlivosť'!#REF!</f>
        <v>#REF!</v>
      </c>
      <c r="O160" s="75" t="e">
        <f>'[2]13. Sociálna starostlivosť'!#REF!</f>
        <v>#REF!</v>
      </c>
      <c r="P160" s="214">
        <v>26700</v>
      </c>
      <c r="Q160" s="217">
        <v>26700</v>
      </c>
      <c r="R160" s="217">
        <v>0</v>
      </c>
      <c r="S160" s="218">
        <v>0</v>
      </c>
      <c r="T160" s="76" t="e">
        <f>SUM(U160:W160)</f>
        <v>#REF!</v>
      </c>
      <c r="U160" s="73">
        <f>'[2]13. Sociálna starostlivosť'!$H$20</f>
        <v>0</v>
      </c>
      <c r="V160" s="73" t="e">
        <f>'[2]13. Sociálna starostlivosť'!$I$20</f>
        <v>#REF!</v>
      </c>
      <c r="W160" s="75" t="e">
        <f>'[2]13. Sociálna starostlivosť'!$J$20</f>
        <v>#REF!</v>
      </c>
    </row>
    <row r="161" spans="1:23" ht="15.75" x14ac:dyDescent="0.25">
      <c r="A161" s="77"/>
      <c r="B161" s="193" t="s">
        <v>353</v>
      </c>
      <c r="C161" s="184" t="s">
        <v>354</v>
      </c>
      <c r="D161" s="171" t="e">
        <f t="shared" ref="D161:W161" si="77">SUM(D162:D164)</f>
        <v>#REF!</v>
      </c>
      <c r="E161" s="172">
        <f t="shared" si="77"/>
        <v>198930</v>
      </c>
      <c r="F161" s="172" t="e">
        <f t="shared" si="77"/>
        <v>#REF!</v>
      </c>
      <c r="G161" s="173" t="e">
        <f t="shared" si="77"/>
        <v>#REF!</v>
      </c>
      <c r="H161" s="171">
        <f t="shared" si="77"/>
        <v>167500</v>
      </c>
      <c r="I161" s="172">
        <f t="shared" si="77"/>
        <v>167500</v>
      </c>
      <c r="J161" s="172">
        <f t="shared" si="77"/>
        <v>0</v>
      </c>
      <c r="K161" s="174">
        <f t="shared" si="77"/>
        <v>0</v>
      </c>
      <c r="L161" s="175" t="e">
        <f t="shared" si="77"/>
        <v>#REF!</v>
      </c>
      <c r="M161" s="172">
        <f t="shared" si="77"/>
        <v>158480</v>
      </c>
      <c r="N161" s="172" t="e">
        <f t="shared" si="77"/>
        <v>#REF!</v>
      </c>
      <c r="O161" s="174" t="e">
        <f t="shared" si="77"/>
        <v>#REF!</v>
      </c>
      <c r="P161" s="214">
        <v>161222.84</v>
      </c>
      <c r="Q161" s="215">
        <v>158480</v>
      </c>
      <c r="R161" s="215">
        <v>2742.84</v>
      </c>
      <c r="S161" s="216">
        <v>0</v>
      </c>
      <c r="T161" s="175" t="e">
        <f t="shared" si="77"/>
        <v>#REF!</v>
      </c>
      <c r="U161" s="172">
        <f t="shared" si="77"/>
        <v>0</v>
      </c>
      <c r="V161" s="172" t="e">
        <f t="shared" si="77"/>
        <v>#REF!</v>
      </c>
      <c r="W161" s="174" t="e">
        <f t="shared" si="77"/>
        <v>#REF!</v>
      </c>
    </row>
    <row r="162" spans="1:23" ht="15.75" x14ac:dyDescent="0.25">
      <c r="B162" s="70">
        <v>1</v>
      </c>
      <c r="C162" s="84" t="s">
        <v>355</v>
      </c>
      <c r="D162" s="72" t="e">
        <f>SUM(E162:G162)</f>
        <v>#REF!</v>
      </c>
      <c r="E162" s="73">
        <v>34940</v>
      </c>
      <c r="F162" s="73" t="e">
        <f>'[2]13. Sociálna starostlivosť'!#REF!</f>
        <v>#REF!</v>
      </c>
      <c r="G162" s="74" t="e">
        <f>'[2]13. Sociálna starostlivosť'!#REF!</f>
        <v>#REF!</v>
      </c>
      <c r="H162" s="72">
        <f>SUM(I162:K162)</f>
        <v>30970</v>
      </c>
      <c r="I162" s="73">
        <v>30970</v>
      </c>
      <c r="J162" s="73">
        <v>0</v>
      </c>
      <c r="K162" s="75">
        <v>0</v>
      </c>
      <c r="L162" s="76" t="e">
        <f>SUM(M162:O162)</f>
        <v>#REF!</v>
      </c>
      <c r="M162" s="73">
        <v>32570</v>
      </c>
      <c r="N162" s="73" t="e">
        <f>'[2]13. Sociálna starostlivosť'!#REF!</f>
        <v>#REF!</v>
      </c>
      <c r="O162" s="75" t="e">
        <f>'[2]13. Sociálna starostlivosť'!#REF!</f>
        <v>#REF!</v>
      </c>
      <c r="P162" s="214">
        <v>32570</v>
      </c>
      <c r="Q162" s="217">
        <v>32570</v>
      </c>
      <c r="R162" s="217">
        <v>0</v>
      </c>
      <c r="S162" s="218">
        <v>0</v>
      </c>
      <c r="T162" s="76" t="e">
        <f>SUM(U162:W162)</f>
        <v>#REF!</v>
      </c>
      <c r="U162" s="73">
        <f>'[2]13. Sociálna starostlivosť'!$H$22</f>
        <v>0</v>
      </c>
      <c r="V162" s="73" t="e">
        <f>'[2]13. Sociálna starostlivosť'!$I$22</f>
        <v>#REF!</v>
      </c>
      <c r="W162" s="75" t="e">
        <f>'[2]13. Sociálna starostlivosť'!$J$22</f>
        <v>#REF!</v>
      </c>
    </row>
    <row r="163" spans="1:23" ht="15.75" x14ac:dyDescent="0.25">
      <c r="B163" s="70">
        <v>2</v>
      </c>
      <c r="C163" s="84" t="s">
        <v>356</v>
      </c>
      <c r="D163" s="72" t="e">
        <f>SUM(E163:G163)</f>
        <v>#REF!</v>
      </c>
      <c r="E163" s="73">
        <v>64410</v>
      </c>
      <c r="F163" s="73" t="e">
        <f>'[2]13. Sociálna starostlivosť'!#REF!</f>
        <v>#REF!</v>
      </c>
      <c r="G163" s="74" t="e">
        <f>'[2]13. Sociálna starostlivosť'!#REF!</f>
        <v>#REF!</v>
      </c>
      <c r="H163" s="72">
        <f>SUM(I163:K163)</f>
        <v>46280</v>
      </c>
      <c r="I163" s="73">
        <v>46280</v>
      </c>
      <c r="J163" s="73">
        <v>0</v>
      </c>
      <c r="K163" s="75">
        <v>0</v>
      </c>
      <c r="L163" s="76" t="e">
        <f>SUM(M163:O163)</f>
        <v>#REF!</v>
      </c>
      <c r="M163" s="73">
        <v>40310</v>
      </c>
      <c r="N163" s="73" t="e">
        <f>'[2]13. Sociálna starostlivosť'!#REF!</f>
        <v>#REF!</v>
      </c>
      <c r="O163" s="75" t="e">
        <f>'[2]13. Sociálna starostlivosť'!#REF!</f>
        <v>#REF!</v>
      </c>
      <c r="P163" s="214">
        <v>40310</v>
      </c>
      <c r="Q163" s="217">
        <v>40310</v>
      </c>
      <c r="R163" s="217">
        <v>0</v>
      </c>
      <c r="S163" s="218">
        <v>0</v>
      </c>
      <c r="T163" s="76" t="e">
        <f>SUM(U163:W163)</f>
        <v>#REF!</v>
      </c>
      <c r="U163" s="73">
        <f>'[2]13. Sociálna starostlivosť'!$H$24</f>
        <v>0</v>
      </c>
      <c r="V163" s="73" t="e">
        <f>'[2]13. Sociálna starostlivosť'!$I$24</f>
        <v>#REF!</v>
      </c>
      <c r="W163" s="75" t="e">
        <f>'[2]13. Sociálna starostlivosť'!$J$24</f>
        <v>#REF!</v>
      </c>
    </row>
    <row r="164" spans="1:23" ht="15.75" x14ac:dyDescent="0.25">
      <c r="A164" s="93"/>
      <c r="B164" s="70">
        <v>3</v>
      </c>
      <c r="C164" s="84" t="s">
        <v>357</v>
      </c>
      <c r="D164" s="72" t="e">
        <f>SUM(E164:G164)</f>
        <v>#REF!</v>
      </c>
      <c r="E164" s="73">
        <v>99580</v>
      </c>
      <c r="F164" s="73">
        <v>0</v>
      </c>
      <c r="G164" s="74" t="e">
        <f>'[2]13. Sociálna starostlivosť'!#REF!</f>
        <v>#REF!</v>
      </c>
      <c r="H164" s="72">
        <f>SUM(I164:K164)</f>
        <v>90250</v>
      </c>
      <c r="I164" s="73">
        <v>90250</v>
      </c>
      <c r="J164" s="73">
        <v>0</v>
      </c>
      <c r="K164" s="75">
        <v>0</v>
      </c>
      <c r="L164" s="76" t="e">
        <f>SUM(M164:O164)</f>
        <v>#REF!</v>
      </c>
      <c r="M164" s="73">
        <v>85600</v>
      </c>
      <c r="N164" s="73">
        <v>1157243</v>
      </c>
      <c r="O164" s="75" t="e">
        <f>'[2]13. Sociálna starostlivosť'!#REF!</f>
        <v>#REF!</v>
      </c>
      <c r="P164" s="214">
        <v>88342.84</v>
      </c>
      <c r="Q164" s="217">
        <v>85600</v>
      </c>
      <c r="R164" s="217">
        <v>2742.84</v>
      </c>
      <c r="S164" s="218">
        <v>0</v>
      </c>
      <c r="T164" s="76">
        <f>SUM(U164:W164)</f>
        <v>2032610</v>
      </c>
      <c r="U164" s="73">
        <f>'[2]13. Sociálna starostlivosť'!$H$25</f>
        <v>0</v>
      </c>
      <c r="V164" s="73">
        <f>'[2]13. Sociálna starostlivosť'!$I$25</f>
        <v>2032610</v>
      </c>
      <c r="W164" s="75">
        <f>'[2]13. Sociálna starostlivosť'!$J$25</f>
        <v>0</v>
      </c>
    </row>
    <row r="165" spans="1:23" ht="15.75" x14ac:dyDescent="0.25">
      <c r="B165" s="193" t="s">
        <v>358</v>
      </c>
      <c r="C165" s="184" t="s">
        <v>359</v>
      </c>
      <c r="D165" s="171" t="e">
        <f t="shared" ref="D165:W165" si="78">SUM(D166:D168)</f>
        <v>#REF!</v>
      </c>
      <c r="E165" s="172">
        <f t="shared" si="78"/>
        <v>34760</v>
      </c>
      <c r="F165" s="172" t="e">
        <f t="shared" si="78"/>
        <v>#REF!</v>
      </c>
      <c r="G165" s="173" t="e">
        <f t="shared" si="78"/>
        <v>#REF!</v>
      </c>
      <c r="H165" s="171">
        <f t="shared" si="78"/>
        <v>28926</v>
      </c>
      <c r="I165" s="172">
        <f t="shared" si="78"/>
        <v>28926</v>
      </c>
      <c r="J165" s="172">
        <f t="shared" si="78"/>
        <v>0</v>
      </c>
      <c r="K165" s="174">
        <f t="shared" si="78"/>
        <v>0</v>
      </c>
      <c r="L165" s="175" t="e">
        <f t="shared" si="78"/>
        <v>#REF!</v>
      </c>
      <c r="M165" s="172" t="e">
        <f t="shared" si="78"/>
        <v>#REF!</v>
      </c>
      <c r="N165" s="172" t="e">
        <f t="shared" si="78"/>
        <v>#REF!</v>
      </c>
      <c r="O165" s="174" t="e">
        <f t="shared" si="78"/>
        <v>#REF!</v>
      </c>
      <c r="P165" s="214">
        <v>25010</v>
      </c>
      <c r="Q165" s="215">
        <v>25010</v>
      </c>
      <c r="R165" s="215">
        <v>0</v>
      </c>
      <c r="S165" s="216">
        <v>0</v>
      </c>
      <c r="T165" s="175" t="e">
        <f t="shared" si="78"/>
        <v>#REF!</v>
      </c>
      <c r="U165" s="172">
        <f t="shared" si="78"/>
        <v>0</v>
      </c>
      <c r="V165" s="172" t="e">
        <f t="shared" si="78"/>
        <v>#REF!</v>
      </c>
      <c r="W165" s="174" t="e">
        <f t="shared" si="78"/>
        <v>#REF!</v>
      </c>
    </row>
    <row r="166" spans="1:23" ht="15.75" x14ac:dyDescent="0.25">
      <c r="B166" s="70">
        <v>1</v>
      </c>
      <c r="C166" s="84" t="s">
        <v>360</v>
      </c>
      <c r="D166" s="72" t="e">
        <f>SUM(E166:G166)</f>
        <v>#REF!</v>
      </c>
      <c r="E166" s="73">
        <v>17230</v>
      </c>
      <c r="F166" s="73">
        <v>881</v>
      </c>
      <c r="G166" s="74" t="e">
        <f>'[2]13. Sociálna starostlivosť'!#REF!</f>
        <v>#REF!</v>
      </c>
      <c r="H166" s="72">
        <f>SUM(I166:K166)</f>
        <v>7190</v>
      </c>
      <c r="I166" s="73">
        <v>7190</v>
      </c>
      <c r="J166" s="73">
        <v>0</v>
      </c>
      <c r="K166" s="75">
        <v>0</v>
      </c>
      <c r="L166" s="76" t="e">
        <f>SUM(M166:O166)</f>
        <v>#REF!</v>
      </c>
      <c r="M166" s="73">
        <v>18020</v>
      </c>
      <c r="N166" s="73" t="e">
        <f>'[2]13. Sociálna starostlivosť'!#REF!</f>
        <v>#REF!</v>
      </c>
      <c r="O166" s="75" t="e">
        <f>'[2]13. Sociálna starostlivosť'!#REF!</f>
        <v>#REF!</v>
      </c>
      <c r="P166" s="214">
        <v>18020</v>
      </c>
      <c r="Q166" s="217">
        <v>18020</v>
      </c>
      <c r="R166" s="217">
        <v>0</v>
      </c>
      <c r="S166" s="218">
        <v>0</v>
      </c>
      <c r="T166" s="76">
        <f>SUM(U166:W166)</f>
        <v>0</v>
      </c>
      <c r="U166" s="73">
        <f>'[2]13. Sociálna starostlivosť'!$H$38</f>
        <v>0</v>
      </c>
      <c r="V166" s="73">
        <f>'[2]13. Sociálna starostlivosť'!$I$38</f>
        <v>0</v>
      </c>
      <c r="W166" s="75">
        <f>'[2]13. Sociálna starostlivosť'!$J$38</f>
        <v>0</v>
      </c>
    </row>
    <row r="167" spans="1:23" ht="15.75" x14ac:dyDescent="0.25">
      <c r="B167" s="70">
        <v>2</v>
      </c>
      <c r="C167" s="84" t="s">
        <v>361</v>
      </c>
      <c r="D167" s="72" t="e">
        <f>SUM(E167:G167)</f>
        <v>#REF!</v>
      </c>
      <c r="E167" s="73">
        <v>540</v>
      </c>
      <c r="F167" s="73" t="e">
        <f>'[2]13. Sociálna starostlivosť'!#REF!</f>
        <v>#REF!</v>
      </c>
      <c r="G167" s="74" t="e">
        <f>'[2]13. Sociálna starostlivosť'!#REF!</f>
        <v>#REF!</v>
      </c>
      <c r="H167" s="72">
        <f>SUM(I167:K167)</f>
        <v>1826</v>
      </c>
      <c r="I167" s="73">
        <v>1826</v>
      </c>
      <c r="J167" s="73">
        <v>0</v>
      </c>
      <c r="K167" s="75">
        <v>0</v>
      </c>
      <c r="L167" s="76" t="e">
        <f>SUM(M167:O167)</f>
        <v>#REF!</v>
      </c>
      <c r="M167" s="73" t="e">
        <f>'[2]13. Sociálna starostlivosť'!#REF!</f>
        <v>#REF!</v>
      </c>
      <c r="N167" s="73" t="e">
        <f>'[2]13. Sociálna starostlivosť'!#REF!</f>
        <v>#REF!</v>
      </c>
      <c r="O167" s="75" t="e">
        <f>'[2]13. Sociálna starostlivosť'!#REF!</f>
        <v>#REF!</v>
      </c>
      <c r="P167" s="214">
        <v>0</v>
      </c>
      <c r="Q167" s="217">
        <v>0</v>
      </c>
      <c r="R167" s="217">
        <v>0</v>
      </c>
      <c r="S167" s="218">
        <v>0</v>
      </c>
      <c r="T167" s="76">
        <f>SUM(U167:W167)</f>
        <v>0</v>
      </c>
      <c r="U167" s="73">
        <f>'[2]13. Sociálna starostlivosť'!$H$41</f>
        <v>0</v>
      </c>
      <c r="V167" s="73">
        <f>'[2]13. Sociálna starostlivosť'!$I$41</f>
        <v>0</v>
      </c>
      <c r="W167" s="75">
        <f>'[2]13. Sociálna starostlivosť'!$J$41</f>
        <v>0</v>
      </c>
    </row>
    <row r="168" spans="1:23" ht="15.75" x14ac:dyDescent="0.25">
      <c r="B168" s="70">
        <v>3</v>
      </c>
      <c r="C168" s="84" t="s">
        <v>362</v>
      </c>
      <c r="D168" s="72" t="e">
        <f>SUM(E168:G168)</f>
        <v>#REF!</v>
      </c>
      <c r="E168" s="73">
        <v>16990</v>
      </c>
      <c r="F168" s="73" t="e">
        <f>'[2]13. Sociálna starostlivosť'!#REF!</f>
        <v>#REF!</v>
      </c>
      <c r="G168" s="74" t="e">
        <f>'[2]13. Sociálna starostlivosť'!#REF!</f>
        <v>#REF!</v>
      </c>
      <c r="H168" s="72">
        <f>SUM(I168:K168)</f>
        <v>19910</v>
      </c>
      <c r="I168" s="73">
        <v>19910</v>
      </c>
      <c r="J168" s="73">
        <v>0</v>
      </c>
      <c r="K168" s="75">
        <v>0</v>
      </c>
      <c r="L168" s="76" t="e">
        <f>SUM(M168:O168)</f>
        <v>#REF!</v>
      </c>
      <c r="M168" s="73">
        <v>20980</v>
      </c>
      <c r="N168" s="73" t="e">
        <f>'[2]13. Sociálna starostlivosť'!#REF!</f>
        <v>#REF!</v>
      </c>
      <c r="O168" s="75" t="e">
        <f>'[2]13. Sociálna starostlivosť'!#REF!</f>
        <v>#REF!</v>
      </c>
      <c r="P168" s="214">
        <v>6990</v>
      </c>
      <c r="Q168" s="217">
        <v>6990</v>
      </c>
      <c r="R168" s="217">
        <v>0</v>
      </c>
      <c r="S168" s="218">
        <v>0</v>
      </c>
      <c r="T168" s="76" t="e">
        <f>SUM(U168:W168)</f>
        <v>#REF!</v>
      </c>
      <c r="U168" s="73">
        <f>'[2]13. Sociálna starostlivosť'!$H$43</f>
        <v>0</v>
      </c>
      <c r="V168" s="73" t="e">
        <f>'[2]13. Sociálna starostlivosť'!$I$43</f>
        <v>#REF!</v>
      </c>
      <c r="W168" s="75" t="e">
        <f>'[2]13. Sociálna starostlivosť'!$J$43</f>
        <v>#REF!</v>
      </c>
    </row>
    <row r="169" spans="1:23" ht="15.75" x14ac:dyDescent="0.25">
      <c r="B169" s="193" t="s">
        <v>363</v>
      </c>
      <c r="C169" s="184" t="s">
        <v>364</v>
      </c>
      <c r="D169" s="171" t="e">
        <f>SUM(E169:G169)</f>
        <v>#REF!</v>
      </c>
      <c r="E169" s="172">
        <v>5720</v>
      </c>
      <c r="F169" s="172" t="e">
        <f>'[2]13. Sociálna starostlivosť'!#REF!</f>
        <v>#REF!</v>
      </c>
      <c r="G169" s="173" t="e">
        <f>'[2]13. Sociálna starostlivosť'!#REF!</f>
        <v>#REF!</v>
      </c>
      <c r="H169" s="171">
        <f>SUM(I169:K169)</f>
        <v>6280</v>
      </c>
      <c r="I169" s="172">
        <v>6280</v>
      </c>
      <c r="J169" s="172">
        <v>0</v>
      </c>
      <c r="K169" s="174">
        <v>0</v>
      </c>
      <c r="L169" s="175" t="e">
        <f>SUM(M169:O169)</f>
        <v>#REF!</v>
      </c>
      <c r="M169" s="172">
        <v>6250</v>
      </c>
      <c r="N169" s="172" t="e">
        <f>'[2]13. Sociálna starostlivosť'!#REF!</f>
        <v>#REF!</v>
      </c>
      <c r="O169" s="174" t="e">
        <f>'[2]13. Sociálna starostlivosť'!#REF!</f>
        <v>#REF!</v>
      </c>
      <c r="P169" s="214">
        <v>6250</v>
      </c>
      <c r="Q169" s="215">
        <v>6250</v>
      </c>
      <c r="R169" s="215">
        <v>0</v>
      </c>
      <c r="S169" s="216">
        <v>0</v>
      </c>
      <c r="T169" s="175" t="e">
        <f>SUM(U169:W169)</f>
        <v>#REF!</v>
      </c>
      <c r="U169" s="172">
        <f>'[2]13. Sociálna starostlivosť'!$H$44</f>
        <v>0</v>
      </c>
      <c r="V169" s="172" t="e">
        <f>'[2]13. Sociálna starostlivosť'!$I$44</f>
        <v>#REF!</v>
      </c>
      <c r="W169" s="174" t="e">
        <f>'[2]13. Sociálna starostlivosť'!$J$44</f>
        <v>#REF!</v>
      </c>
    </row>
    <row r="170" spans="1:23" ht="16.5" x14ac:dyDescent="0.3">
      <c r="A170" s="85"/>
      <c r="B170" s="193" t="s">
        <v>365</v>
      </c>
      <c r="C170" s="189" t="s">
        <v>366</v>
      </c>
      <c r="D170" s="171" t="e">
        <f>SUM(E170:G170)</f>
        <v>#REF!</v>
      </c>
      <c r="E170" s="172">
        <v>11274</v>
      </c>
      <c r="F170" s="172" t="e">
        <f>'[2]13. Sociálna starostlivosť'!#REF!</f>
        <v>#REF!</v>
      </c>
      <c r="G170" s="173" t="e">
        <f>'[2]13. Sociálna starostlivosť'!#REF!</f>
        <v>#REF!</v>
      </c>
      <c r="H170" s="171">
        <f>SUM(I170:K170)</f>
        <v>10658.49</v>
      </c>
      <c r="I170" s="172">
        <v>10658.49</v>
      </c>
      <c r="J170" s="172">
        <v>0</v>
      </c>
      <c r="K170" s="174">
        <v>0</v>
      </c>
      <c r="L170" s="175" t="e">
        <f>SUM(M170:O170)</f>
        <v>#REF!</v>
      </c>
      <c r="M170" s="172" t="e">
        <f>'[2]13. Sociálna starostlivosť'!#REF!</f>
        <v>#REF!</v>
      </c>
      <c r="N170" s="172" t="e">
        <f>'[2]13. Sociálna starostlivosť'!#REF!</f>
        <v>#REF!</v>
      </c>
      <c r="O170" s="174" t="e">
        <f>'[2]13. Sociálna starostlivosť'!#REF!</f>
        <v>#REF!</v>
      </c>
      <c r="P170" s="214">
        <v>10946.4</v>
      </c>
      <c r="Q170" s="215">
        <v>10946.4</v>
      </c>
      <c r="R170" s="215">
        <v>0</v>
      </c>
      <c r="S170" s="216">
        <v>0</v>
      </c>
      <c r="T170" s="175">
        <f>SUM(U170:W170)</f>
        <v>16468</v>
      </c>
      <c r="U170" s="172">
        <f>'[2]13. Sociálna starostlivosť'!$H$45</f>
        <v>16468</v>
      </c>
      <c r="V170" s="172">
        <f>'[2]13. Sociálna starostlivosť'!$I$45</f>
        <v>0</v>
      </c>
      <c r="W170" s="174">
        <f>'[2]13. Sociálna starostlivosť'!$J$45</f>
        <v>0</v>
      </c>
    </row>
    <row r="171" spans="1:23" ht="15.75" x14ac:dyDescent="0.25">
      <c r="B171" s="193" t="s">
        <v>367</v>
      </c>
      <c r="C171" s="184" t="s">
        <v>368</v>
      </c>
      <c r="D171" s="171" t="e">
        <f>SUM(D172:D172)</f>
        <v>#REF!</v>
      </c>
      <c r="E171" s="172">
        <f>SUM(E172:E172)</f>
        <v>35699</v>
      </c>
      <c r="F171" s="172" t="e">
        <f>SUM(F172:F172)</f>
        <v>#REF!</v>
      </c>
      <c r="G171" s="173" t="e">
        <f t="shared" ref="G171:W171" si="79">SUM(G172)</f>
        <v>#REF!</v>
      </c>
      <c r="H171" s="171">
        <f t="shared" si="79"/>
        <v>11959.49</v>
      </c>
      <c r="I171" s="172">
        <f t="shared" si="79"/>
        <v>11959.49</v>
      </c>
      <c r="J171" s="172">
        <f t="shared" si="79"/>
        <v>0</v>
      </c>
      <c r="K171" s="174">
        <f t="shared" si="79"/>
        <v>0</v>
      </c>
      <c r="L171" s="175" t="e">
        <f t="shared" si="79"/>
        <v>#REF!</v>
      </c>
      <c r="M171" s="172" t="e">
        <f t="shared" si="79"/>
        <v>#REF!</v>
      </c>
      <c r="N171" s="172" t="e">
        <f t="shared" si="79"/>
        <v>#REF!</v>
      </c>
      <c r="O171" s="174" t="e">
        <f t="shared" si="79"/>
        <v>#REF!</v>
      </c>
      <c r="P171" s="214">
        <v>4445.47</v>
      </c>
      <c r="Q171" s="215">
        <v>4445.47</v>
      </c>
      <c r="R171" s="215">
        <v>0</v>
      </c>
      <c r="S171" s="216">
        <v>0</v>
      </c>
      <c r="T171" s="175" t="e">
        <f t="shared" si="79"/>
        <v>#REF!</v>
      </c>
      <c r="U171" s="172">
        <f t="shared" si="79"/>
        <v>150</v>
      </c>
      <c r="V171" s="172" t="e">
        <f t="shared" si="79"/>
        <v>#REF!</v>
      </c>
      <c r="W171" s="174" t="e">
        <f t="shared" si="79"/>
        <v>#REF!</v>
      </c>
    </row>
    <row r="172" spans="1:23" ht="15.75" x14ac:dyDescent="0.25">
      <c r="B172" s="70">
        <v>1</v>
      </c>
      <c r="C172" s="84" t="s">
        <v>369</v>
      </c>
      <c r="D172" s="72" t="e">
        <f>SUM(E172:G172)</f>
        <v>#REF!</v>
      </c>
      <c r="E172" s="73">
        <v>35699</v>
      </c>
      <c r="F172" s="73" t="e">
        <f>'[2]13. Sociálna starostlivosť'!#REF!</f>
        <v>#REF!</v>
      </c>
      <c r="G172" s="74" t="e">
        <f>'[2]13. Sociálna starostlivosť'!#REF!</f>
        <v>#REF!</v>
      </c>
      <c r="H172" s="72">
        <f>SUM(I172:K172)</f>
        <v>11959.49</v>
      </c>
      <c r="I172" s="73">
        <v>11959.49</v>
      </c>
      <c r="J172" s="73">
        <v>0</v>
      </c>
      <c r="K172" s="75">
        <v>0</v>
      </c>
      <c r="L172" s="76" t="e">
        <f>SUM(M172:O172)</f>
        <v>#REF!</v>
      </c>
      <c r="M172" s="73" t="e">
        <f>'[2]13. Sociálna starostlivosť'!#REF!</f>
        <v>#REF!</v>
      </c>
      <c r="N172" s="73" t="e">
        <f>'[2]13. Sociálna starostlivosť'!#REF!</f>
        <v>#REF!</v>
      </c>
      <c r="O172" s="75" t="e">
        <f>'[2]13. Sociálna starostlivosť'!#REF!</f>
        <v>#REF!</v>
      </c>
      <c r="P172" s="214">
        <v>4445.47</v>
      </c>
      <c r="Q172" s="217">
        <v>4445.47</v>
      </c>
      <c r="R172" s="217">
        <v>0</v>
      </c>
      <c r="S172" s="218">
        <v>0</v>
      </c>
      <c r="T172" s="76" t="e">
        <f>SUM(U172:W172)</f>
        <v>#REF!</v>
      </c>
      <c r="U172" s="73">
        <f>'[2]13. Sociálna starostlivosť'!$H$54</f>
        <v>150</v>
      </c>
      <c r="V172" s="73" t="e">
        <f>'[2]13. Sociálna starostlivosť'!$I$54</f>
        <v>#REF!</v>
      </c>
      <c r="W172" s="75" t="e">
        <f>'[2]13. Sociálna starostlivosť'!$J$54</f>
        <v>#REF!</v>
      </c>
    </row>
    <row r="173" spans="1:23" ht="17.25" thickBot="1" x14ac:dyDescent="0.35">
      <c r="A173" s="85"/>
      <c r="B173" s="190" t="s">
        <v>370</v>
      </c>
      <c r="C173" s="191" t="s">
        <v>371</v>
      </c>
      <c r="D173" s="178" t="e">
        <f>SUM(E173:G173)</f>
        <v>#REF!</v>
      </c>
      <c r="E173" s="179">
        <v>832</v>
      </c>
      <c r="F173" s="179" t="e">
        <f>'[2]13. Sociálna starostlivosť'!#REF!</f>
        <v>#REF!</v>
      </c>
      <c r="G173" s="180" t="e">
        <f>'[2]13. Sociálna starostlivosť'!#REF!</f>
        <v>#REF!</v>
      </c>
      <c r="H173" s="178" t="e">
        <f>SUM(I173:K173)</f>
        <v>#REF!</v>
      </c>
      <c r="I173" s="179" t="e">
        <f>'[2]13. Sociálna starostlivosť'!#REF!</f>
        <v>#REF!</v>
      </c>
      <c r="J173" s="179">
        <v>0</v>
      </c>
      <c r="K173" s="188">
        <v>0</v>
      </c>
      <c r="L173" s="187" t="e">
        <f>SUM(M173:O173)</f>
        <v>#REF!</v>
      </c>
      <c r="M173" s="179" t="e">
        <f>'[2]13. Sociálna starostlivosť'!#REF!</f>
        <v>#REF!</v>
      </c>
      <c r="N173" s="179" t="e">
        <f>'[2]13. Sociálna starostlivosť'!#REF!</f>
        <v>#REF!</v>
      </c>
      <c r="O173" s="188" t="e">
        <f>'[2]13. Sociálna starostlivosť'!#REF!</f>
        <v>#REF!</v>
      </c>
      <c r="P173" s="224">
        <v>0</v>
      </c>
      <c r="Q173" s="225">
        <v>0</v>
      </c>
      <c r="R173" s="225">
        <v>0</v>
      </c>
      <c r="S173" s="226">
        <v>0</v>
      </c>
      <c r="T173" s="187" t="e">
        <f>SUM(U173:W173)</f>
        <v>#REF!</v>
      </c>
      <c r="U173" s="179">
        <f>'[2]13. Sociálna starostlivosť'!$H$75</f>
        <v>1300</v>
      </c>
      <c r="V173" s="179" t="e">
        <f>'[2]13. Sociálna starostlivosť'!$I$75</f>
        <v>#REF!</v>
      </c>
      <c r="W173" s="188" t="e">
        <f>'[2]13. Sociálna starostlivosť'!$J$75</f>
        <v>#REF!</v>
      </c>
    </row>
    <row r="174" spans="1:23" s="63" customFormat="1" ht="17.25" thickBot="1" x14ac:dyDescent="0.35">
      <c r="A174" s="93"/>
      <c r="B174" s="161" t="s">
        <v>372</v>
      </c>
      <c r="C174" s="162"/>
      <c r="D174" s="163" t="e">
        <f>SUM(E174:G174)</f>
        <v>#REF!</v>
      </c>
      <c r="E174" s="164">
        <v>303254</v>
      </c>
      <c r="F174" s="164" t="e">
        <f>'[2]14. Bývanie'!#REF!</f>
        <v>#REF!</v>
      </c>
      <c r="G174" s="165">
        <v>112360</v>
      </c>
      <c r="H174" s="166">
        <f>SUM(I174:K174)</f>
        <v>423841</v>
      </c>
      <c r="I174" s="167">
        <v>308731</v>
      </c>
      <c r="J174" s="167">
        <v>0</v>
      </c>
      <c r="K174" s="168">
        <v>115110</v>
      </c>
      <c r="L174" s="163" t="e">
        <f>SUM(M174:O174)</f>
        <v>#REF!</v>
      </c>
      <c r="M174" s="164" t="e">
        <f>'[2]14. Bývanie'!#REF!</f>
        <v>#REF!</v>
      </c>
      <c r="N174" s="164" t="e">
        <f>'[2]14. Bývanie'!#REF!</f>
        <v>#REF!</v>
      </c>
      <c r="O174" s="164" t="e">
        <f>'[2]14. Bývanie'!#REF!</f>
        <v>#REF!</v>
      </c>
      <c r="P174" s="243">
        <v>407863.46</v>
      </c>
      <c r="Q174" s="244">
        <v>289949.36</v>
      </c>
      <c r="R174" s="244">
        <v>0</v>
      </c>
      <c r="S174" s="244">
        <v>117914.1</v>
      </c>
      <c r="T174" s="163">
        <f>SUM(U174:W174)</f>
        <v>450923</v>
      </c>
      <c r="U174" s="164">
        <f>'[2]14. Bývanie'!$H$18</f>
        <v>329843</v>
      </c>
      <c r="V174" s="164">
        <f>'[2]14. Bývanie'!$I$18</f>
        <v>0</v>
      </c>
      <c r="W174" s="164">
        <f>'[2]14. Bývanie'!$J$18</f>
        <v>121080</v>
      </c>
    </row>
    <row r="175" spans="1:23" s="63" customFormat="1" ht="14.25" x14ac:dyDescent="0.2">
      <c r="A175" s="93"/>
      <c r="B175" s="154" t="s">
        <v>373</v>
      </c>
      <c r="C175" s="158"/>
      <c r="D175" s="149" t="e">
        <f t="shared" ref="D175:W175" si="80">SUM(D176:D178)</f>
        <v>#REF!</v>
      </c>
      <c r="E175" s="150" t="e">
        <f t="shared" si="80"/>
        <v>#REF!</v>
      </c>
      <c r="F175" s="150" t="e">
        <f t="shared" si="80"/>
        <v>#REF!</v>
      </c>
      <c r="G175" s="151" t="e">
        <f t="shared" si="80"/>
        <v>#REF!</v>
      </c>
      <c r="H175" s="149" t="e">
        <f t="shared" si="80"/>
        <v>#REF!</v>
      </c>
      <c r="I175" s="150">
        <f t="shared" si="80"/>
        <v>1482459.49</v>
      </c>
      <c r="J175" s="150">
        <f t="shared" si="80"/>
        <v>12620.49</v>
      </c>
      <c r="K175" s="152" t="e">
        <f t="shared" si="80"/>
        <v>#REF!</v>
      </c>
      <c r="L175" s="153" t="e">
        <f t="shared" si="80"/>
        <v>#REF!</v>
      </c>
      <c r="M175" s="150" t="e">
        <f t="shared" si="80"/>
        <v>#REF!</v>
      </c>
      <c r="N175" s="150" t="e">
        <f t="shared" si="80"/>
        <v>#REF!</v>
      </c>
      <c r="O175" s="152" t="e">
        <f t="shared" si="80"/>
        <v>#REF!</v>
      </c>
      <c r="P175" s="222">
        <v>1574450.76</v>
      </c>
      <c r="Q175" s="223">
        <v>1574450.76</v>
      </c>
      <c r="R175" s="223">
        <v>0</v>
      </c>
      <c r="S175" s="227">
        <v>0</v>
      </c>
      <c r="T175" s="153" t="e">
        <f t="shared" si="80"/>
        <v>#REF!</v>
      </c>
      <c r="U175" s="150" t="e">
        <f t="shared" si="80"/>
        <v>#REF!</v>
      </c>
      <c r="V175" s="150" t="e">
        <f t="shared" si="80"/>
        <v>#REF!</v>
      </c>
      <c r="W175" s="152" t="e">
        <f t="shared" si="80"/>
        <v>#REF!</v>
      </c>
    </row>
    <row r="176" spans="1:23" x14ac:dyDescent="0.2">
      <c r="B176" s="97"/>
      <c r="C176" s="98" t="s">
        <v>374</v>
      </c>
      <c r="D176" s="72" t="e">
        <f>SUM(E176:G176)</f>
        <v>#REF!</v>
      </c>
      <c r="E176" s="73">
        <v>57145.49</v>
      </c>
      <c r="F176" s="73">
        <v>7954</v>
      </c>
      <c r="G176" s="74" t="e">
        <f>'[2]15. Administratíva'!#REF!</f>
        <v>#REF!</v>
      </c>
      <c r="H176" s="72" t="e">
        <f>SUM(I176:K176)</f>
        <v>#REF!</v>
      </c>
      <c r="I176" s="73">
        <v>245337.49</v>
      </c>
      <c r="J176" s="73">
        <v>12620.49</v>
      </c>
      <c r="K176" s="75" t="e">
        <f>'[2]15. Administratíva'!#REF!</f>
        <v>#REF!</v>
      </c>
      <c r="L176" s="76" t="e">
        <f>SUM(M176:O176)</f>
        <v>#REF!</v>
      </c>
      <c r="M176" s="73" t="e">
        <f>'[2]15. Administratíva'!#REF!</f>
        <v>#REF!</v>
      </c>
      <c r="N176" s="73" t="e">
        <f>'[2]15. Administratíva'!#REF!</f>
        <v>#REF!</v>
      </c>
      <c r="O176" s="75" t="e">
        <f>'[2]15. Administratíva'!#REF!</f>
        <v>#REF!</v>
      </c>
      <c r="P176" s="245">
        <v>441956.04</v>
      </c>
      <c r="Q176" s="217">
        <v>441956.04</v>
      </c>
      <c r="R176" s="217">
        <v>0</v>
      </c>
      <c r="S176" s="218">
        <v>0</v>
      </c>
      <c r="T176" s="76" t="e">
        <f>SUM(U176:W176)</f>
        <v>#REF!</v>
      </c>
      <c r="U176" s="73">
        <f>'[2]15. Administratíva'!$H$89</f>
        <v>1343</v>
      </c>
      <c r="V176" s="73" t="e">
        <f>'[2]15. Administratíva'!$I$89</f>
        <v>#REF!</v>
      </c>
      <c r="W176" s="75" t="e">
        <f>'[2]15. Administratíva'!$J$89</f>
        <v>#REF!</v>
      </c>
    </row>
    <row r="177" spans="1:23" x14ac:dyDescent="0.2">
      <c r="B177" s="97"/>
      <c r="C177" s="98" t="s">
        <v>375</v>
      </c>
      <c r="D177" s="72" t="e">
        <f>SUM(E177:G177)</f>
        <v>#REF!</v>
      </c>
      <c r="E177" s="73" t="e">
        <f>'[2]15. Administratíva'!#REF!</f>
        <v>#REF!</v>
      </c>
      <c r="F177" s="73" t="e">
        <f>'[2]15. Administratíva'!#REF!</f>
        <v>#REF!</v>
      </c>
      <c r="G177" s="74">
        <v>0</v>
      </c>
      <c r="H177" s="72">
        <f>SUM(I177:K177)</f>
        <v>132775</v>
      </c>
      <c r="I177" s="73">
        <v>0</v>
      </c>
      <c r="J177" s="73">
        <v>0</v>
      </c>
      <c r="K177" s="75">
        <v>132775</v>
      </c>
      <c r="L177" s="76" t="e">
        <f>SUM(M177:O177)</f>
        <v>#REF!</v>
      </c>
      <c r="M177" s="73" t="e">
        <f>'[2]15. Administratíva'!#REF!</f>
        <v>#REF!</v>
      </c>
      <c r="N177" s="73" t="e">
        <f>'[2]15. Administratíva'!#REF!</f>
        <v>#REF!</v>
      </c>
      <c r="O177" s="75" t="e">
        <f>'[2]15. Administratíva'!#REF!</f>
        <v>#REF!</v>
      </c>
      <c r="P177" s="245">
        <v>0</v>
      </c>
      <c r="Q177" s="217">
        <v>0</v>
      </c>
      <c r="R177" s="217">
        <v>0</v>
      </c>
      <c r="S177" s="218">
        <v>0</v>
      </c>
      <c r="T177" s="76" t="e">
        <f>SUM(U177:W177)</f>
        <v>#REF!</v>
      </c>
      <c r="U177" s="73" t="e">
        <f>'[2]15. Administratíva'!$H$91</f>
        <v>#REF!</v>
      </c>
      <c r="V177" s="73" t="e">
        <f>'[2]15. Administratíva'!$I$91</f>
        <v>#REF!</v>
      </c>
      <c r="W177" s="75" t="e">
        <f>'[2]15. Administratíva'!$J$91</f>
        <v>#REF!</v>
      </c>
    </row>
    <row r="178" spans="1:23" ht="13.5" thickBot="1" x14ac:dyDescent="0.25">
      <c r="A178" s="85"/>
      <c r="B178" s="99"/>
      <c r="C178" s="100" t="s">
        <v>376</v>
      </c>
      <c r="D178" s="79" t="e">
        <f>SUM(E178:G178)</f>
        <v>#REF!</v>
      </c>
      <c r="E178" s="80">
        <v>1396287.49</v>
      </c>
      <c r="F178" s="80" t="e">
        <f>'[2]15. Administratíva'!#REF!</f>
        <v>#REF!</v>
      </c>
      <c r="G178" s="81" t="e">
        <f>'[2]15. Administratíva'!#REF!</f>
        <v>#REF!</v>
      </c>
      <c r="H178" s="79">
        <f>SUM(I178:K178)</f>
        <v>1237122</v>
      </c>
      <c r="I178" s="80">
        <v>1237122</v>
      </c>
      <c r="J178" s="80">
        <v>0</v>
      </c>
      <c r="K178" s="90">
        <v>0</v>
      </c>
      <c r="L178" s="89" t="e">
        <f>SUM(M178:O178)</f>
        <v>#REF!</v>
      </c>
      <c r="M178" s="80">
        <v>1124957</v>
      </c>
      <c r="N178" s="80" t="e">
        <f>'[2]15. Administratíva'!#REF!</f>
        <v>#REF!</v>
      </c>
      <c r="O178" s="90" t="e">
        <f>'[2]15. Administratíva'!#REF!</f>
        <v>#REF!</v>
      </c>
      <c r="P178" s="246">
        <v>1132494.72</v>
      </c>
      <c r="Q178" s="232">
        <v>1132494.72</v>
      </c>
      <c r="R178" s="232">
        <v>0</v>
      </c>
      <c r="S178" s="233">
        <v>0</v>
      </c>
      <c r="T178" s="89">
        <f>SUM(U178:W178)</f>
        <v>1303806</v>
      </c>
      <c r="U178" s="80">
        <f>'[3]15. Administratíva'!$Q$4</f>
        <v>1303806</v>
      </c>
      <c r="V178" s="80">
        <f>'[2]15. Administratíva'!$I$4</f>
        <v>0</v>
      </c>
      <c r="W178" s="90">
        <f>'[2]15. Administratíva'!$J$4</f>
        <v>0</v>
      </c>
    </row>
    <row r="181" spans="1:23" x14ac:dyDescent="0.2">
      <c r="A181" s="85"/>
    </row>
    <row r="187" spans="1:23" x14ac:dyDescent="0.2">
      <c r="A187" s="85"/>
    </row>
    <row r="188" spans="1:23" x14ac:dyDescent="0.2">
      <c r="A188" s="85"/>
    </row>
    <row r="190" spans="1:23" x14ac:dyDescent="0.2">
      <c r="A190" s="53"/>
    </row>
    <row r="191" spans="1:23" x14ac:dyDescent="0.2">
      <c r="A191" s="53"/>
    </row>
    <row r="192" spans="1:23" x14ac:dyDescent="0.2">
      <c r="A192" s="53"/>
    </row>
    <row r="193" spans="1:1" x14ac:dyDescent="0.2">
      <c r="A193" s="53"/>
    </row>
    <row r="194" spans="1:1" x14ac:dyDescent="0.2">
      <c r="A194" s="53"/>
    </row>
    <row r="195" spans="1:1" x14ac:dyDescent="0.2">
      <c r="A195" s="53"/>
    </row>
    <row r="196" spans="1:1" x14ac:dyDescent="0.2">
      <c r="A196" s="53"/>
    </row>
    <row r="197" spans="1:1" x14ac:dyDescent="0.2">
      <c r="A197" s="85"/>
    </row>
    <row r="210" spans="4:4" x14ac:dyDescent="0.2">
      <c r="D210" s="50"/>
    </row>
    <row r="211" spans="4:4" x14ac:dyDescent="0.2">
      <c r="D211" s="50"/>
    </row>
    <row r="212" spans="4:4" x14ac:dyDescent="0.2">
      <c r="D212" s="50"/>
    </row>
    <row r="213" spans="4:4" x14ac:dyDescent="0.2">
      <c r="D213" s="50"/>
    </row>
    <row r="214" spans="4:4" x14ac:dyDescent="0.2">
      <c r="D214" s="50"/>
    </row>
    <row r="215" spans="4:4" x14ac:dyDescent="0.2">
      <c r="D215" s="50"/>
    </row>
    <row r="216" spans="4:4" x14ac:dyDescent="0.2">
      <c r="D216" s="50"/>
    </row>
    <row r="217" spans="4:4" x14ac:dyDescent="0.2">
      <c r="D217" s="50"/>
    </row>
    <row r="218" spans="4:4" x14ac:dyDescent="0.2">
      <c r="D218" s="50"/>
    </row>
    <row r="219" spans="4:4" x14ac:dyDescent="0.2">
      <c r="D219" s="50"/>
    </row>
    <row r="220" spans="4:4" x14ac:dyDescent="0.2">
      <c r="D220" s="50"/>
    </row>
    <row r="221" spans="4:4" x14ac:dyDescent="0.2">
      <c r="D221" s="50"/>
    </row>
    <row r="222" spans="4:4" x14ac:dyDescent="0.2">
      <c r="D222" s="50"/>
    </row>
    <row r="223" spans="4:4" x14ac:dyDescent="0.2">
      <c r="D223" s="50"/>
    </row>
    <row r="224" spans="4:4" x14ac:dyDescent="0.2">
      <c r="D224" s="50"/>
    </row>
    <row r="225" spans="4:4" x14ac:dyDescent="0.2">
      <c r="D225" s="50"/>
    </row>
    <row r="226" spans="4:4" x14ac:dyDescent="0.2">
      <c r="D226" s="50"/>
    </row>
    <row r="227" spans="4:4" x14ac:dyDescent="0.2">
      <c r="D227" s="50"/>
    </row>
    <row r="228" spans="4:4" x14ac:dyDescent="0.2">
      <c r="D228" s="50"/>
    </row>
    <row r="229" spans="4:4" x14ac:dyDescent="0.2">
      <c r="D229" s="50"/>
    </row>
    <row r="230" spans="4:4" x14ac:dyDescent="0.2">
      <c r="D230" s="50"/>
    </row>
    <row r="231" spans="4:4" x14ac:dyDescent="0.2">
      <c r="D231" s="50"/>
    </row>
    <row r="232" spans="4:4" x14ac:dyDescent="0.2">
      <c r="D232" s="50"/>
    </row>
    <row r="233" spans="4:4" x14ac:dyDescent="0.2">
      <c r="D233" s="50"/>
    </row>
    <row r="234" spans="4:4" x14ac:dyDescent="0.2">
      <c r="D234" s="50"/>
    </row>
    <row r="235" spans="4:4" x14ac:dyDescent="0.2">
      <c r="D235" s="50"/>
    </row>
    <row r="236" spans="4:4" x14ac:dyDescent="0.2">
      <c r="D236" s="50"/>
    </row>
    <row r="237" spans="4:4" x14ac:dyDescent="0.2">
      <c r="D237" s="50"/>
    </row>
    <row r="238" spans="4:4" x14ac:dyDescent="0.2">
      <c r="D238" s="50"/>
    </row>
    <row r="239" spans="4:4" x14ac:dyDescent="0.2">
      <c r="D239" s="50"/>
    </row>
    <row r="240" spans="4:4" x14ac:dyDescent="0.2">
      <c r="D240" s="50"/>
    </row>
    <row r="241" spans="4:4" x14ac:dyDescent="0.2">
      <c r="D241" s="50"/>
    </row>
    <row r="242" spans="4:4" x14ac:dyDescent="0.2">
      <c r="D242" s="50"/>
    </row>
    <row r="243" spans="4:4" x14ac:dyDescent="0.2">
      <c r="D243" s="50"/>
    </row>
    <row r="244" spans="4:4" x14ac:dyDescent="0.2">
      <c r="D244" s="50"/>
    </row>
    <row r="245" spans="4:4" x14ac:dyDescent="0.2">
      <c r="D245" s="50"/>
    </row>
    <row r="246" spans="4:4" x14ac:dyDescent="0.2">
      <c r="D246" s="50"/>
    </row>
    <row r="247" spans="4:4" x14ac:dyDescent="0.2">
      <c r="D247" s="50"/>
    </row>
    <row r="248" spans="4:4" x14ac:dyDescent="0.2">
      <c r="D248" s="50"/>
    </row>
    <row r="249" spans="4:4" x14ac:dyDescent="0.2">
      <c r="D249" s="50"/>
    </row>
    <row r="250" spans="4:4" x14ac:dyDescent="0.2">
      <c r="D250" s="50"/>
    </row>
    <row r="251" spans="4:4" x14ac:dyDescent="0.2">
      <c r="D251" s="50"/>
    </row>
    <row r="252" spans="4:4" x14ac:dyDescent="0.2">
      <c r="D252" s="50"/>
    </row>
    <row r="253" spans="4:4" x14ac:dyDescent="0.2">
      <c r="D253" s="50"/>
    </row>
    <row r="254" spans="4:4" x14ac:dyDescent="0.2">
      <c r="D254" s="50"/>
    </row>
    <row r="255" spans="4:4" x14ac:dyDescent="0.2">
      <c r="D255" s="50"/>
    </row>
    <row r="256" spans="4:4" x14ac:dyDescent="0.2">
      <c r="D256" s="50"/>
    </row>
    <row r="257" spans="4:4" x14ac:dyDescent="0.2">
      <c r="D257" s="50"/>
    </row>
    <row r="258" spans="4:4" x14ac:dyDescent="0.2">
      <c r="D258" s="50"/>
    </row>
    <row r="259" spans="4:4" x14ac:dyDescent="0.2">
      <c r="D259" s="50"/>
    </row>
    <row r="260" spans="4:4" x14ac:dyDescent="0.2">
      <c r="D260" s="50"/>
    </row>
    <row r="261" spans="4:4" x14ac:dyDescent="0.2">
      <c r="D261" s="50"/>
    </row>
    <row r="262" spans="4:4" x14ac:dyDescent="0.2">
      <c r="D262" s="50"/>
    </row>
    <row r="263" spans="4:4" x14ac:dyDescent="0.2">
      <c r="D263" s="50"/>
    </row>
    <row r="264" spans="4:4" x14ac:dyDescent="0.2">
      <c r="D264" s="50"/>
    </row>
    <row r="265" spans="4:4" x14ac:dyDescent="0.2">
      <c r="D265" s="50"/>
    </row>
    <row r="266" spans="4:4" x14ac:dyDescent="0.2">
      <c r="D266" s="50"/>
    </row>
    <row r="267" spans="4:4" x14ac:dyDescent="0.2">
      <c r="D267" s="50"/>
    </row>
    <row r="268" spans="4:4" x14ac:dyDescent="0.2">
      <c r="D268" s="50"/>
    </row>
    <row r="269" spans="4:4" x14ac:dyDescent="0.2">
      <c r="D269" s="50"/>
    </row>
    <row r="270" spans="4:4" x14ac:dyDescent="0.2">
      <c r="D270" s="50"/>
    </row>
    <row r="271" spans="4:4" x14ac:dyDescent="0.2">
      <c r="D271" s="50"/>
    </row>
    <row r="272" spans="4:4" x14ac:dyDescent="0.2">
      <c r="D272" s="50"/>
    </row>
    <row r="273" spans="4:4" x14ac:dyDescent="0.2">
      <c r="D273" s="50"/>
    </row>
    <row r="274" spans="4:4" x14ac:dyDescent="0.2">
      <c r="D274" s="50"/>
    </row>
    <row r="275" spans="4:4" x14ac:dyDescent="0.2">
      <c r="D275" s="50"/>
    </row>
    <row r="276" spans="4:4" x14ac:dyDescent="0.2">
      <c r="D276" s="50"/>
    </row>
    <row r="277" spans="4:4" x14ac:dyDescent="0.2">
      <c r="D277" s="50"/>
    </row>
    <row r="278" spans="4:4" x14ac:dyDescent="0.2">
      <c r="D278" s="50"/>
    </row>
    <row r="279" spans="4:4" x14ac:dyDescent="0.2">
      <c r="D279" s="50"/>
    </row>
    <row r="280" spans="4:4" x14ac:dyDescent="0.2">
      <c r="D280" s="50"/>
    </row>
    <row r="281" spans="4:4" x14ac:dyDescent="0.2">
      <c r="D281" s="50"/>
    </row>
    <row r="282" spans="4:4" x14ac:dyDescent="0.2">
      <c r="D282" s="50"/>
    </row>
    <row r="283" spans="4:4" x14ac:dyDescent="0.2">
      <c r="D283" s="50"/>
    </row>
    <row r="284" spans="4:4" x14ac:dyDescent="0.2">
      <c r="D284" s="50"/>
    </row>
    <row r="285" spans="4:4" x14ac:dyDescent="0.2">
      <c r="D285" s="50"/>
    </row>
    <row r="286" spans="4:4" x14ac:dyDescent="0.2">
      <c r="D286" s="50"/>
    </row>
    <row r="287" spans="4:4" x14ac:dyDescent="0.2">
      <c r="D287" s="50"/>
    </row>
    <row r="288" spans="4:4" x14ac:dyDescent="0.2">
      <c r="D288" s="50"/>
    </row>
    <row r="289" spans="4:4" x14ac:dyDescent="0.2">
      <c r="D289" s="50"/>
    </row>
    <row r="290" spans="4:4" x14ac:dyDescent="0.2">
      <c r="D290" s="50"/>
    </row>
    <row r="291" spans="4:4" x14ac:dyDescent="0.2">
      <c r="D291" s="50"/>
    </row>
    <row r="292" spans="4:4" x14ac:dyDescent="0.2">
      <c r="D292" s="50"/>
    </row>
    <row r="293" spans="4:4" x14ac:dyDescent="0.2">
      <c r="D293" s="50"/>
    </row>
    <row r="294" spans="4:4" x14ac:dyDescent="0.2">
      <c r="D294" s="50"/>
    </row>
    <row r="295" spans="4:4" x14ac:dyDescent="0.2">
      <c r="D295" s="50"/>
    </row>
    <row r="296" spans="4:4" x14ac:dyDescent="0.2">
      <c r="D296" s="50"/>
    </row>
    <row r="297" spans="4:4" x14ac:dyDescent="0.2">
      <c r="D297" s="50"/>
    </row>
    <row r="298" spans="4:4" x14ac:dyDescent="0.2">
      <c r="D298" s="50"/>
    </row>
    <row r="299" spans="4:4" x14ac:dyDescent="0.2">
      <c r="D299" s="50"/>
    </row>
    <row r="300" spans="4:4" x14ac:dyDescent="0.2">
      <c r="D300" s="50"/>
    </row>
    <row r="301" spans="4:4" x14ac:dyDescent="0.2">
      <c r="D301" s="50"/>
    </row>
    <row r="302" spans="4:4" x14ac:dyDescent="0.2">
      <c r="D302" s="50"/>
    </row>
    <row r="303" spans="4:4" x14ac:dyDescent="0.2">
      <c r="D303" s="50"/>
    </row>
    <row r="304" spans="4:4" x14ac:dyDescent="0.2">
      <c r="D304" s="50"/>
    </row>
    <row r="305" spans="4:4" x14ac:dyDescent="0.2">
      <c r="D305" s="50"/>
    </row>
    <row r="306" spans="4:4" x14ac:dyDescent="0.2">
      <c r="D306" s="50"/>
    </row>
  </sheetData>
  <sheetProtection selectLockedCells="1" selectUnlockedCells="1"/>
  <mergeCells count="11">
    <mergeCell ref="P5:S5"/>
    <mergeCell ref="Q6:S6"/>
    <mergeCell ref="T5:W5"/>
    <mergeCell ref="U6:W6"/>
    <mergeCell ref="B6:C7"/>
    <mergeCell ref="E6:G6"/>
    <mergeCell ref="I6:K6"/>
    <mergeCell ref="M6:O6"/>
    <mergeCell ref="D5:G5"/>
    <mergeCell ref="H5:K5"/>
    <mergeCell ref="L5:O5"/>
  </mergeCells>
  <phoneticPr fontId="0" type="noConversion"/>
  <pageMargins left="0.78740157480314965" right="0.78740157480314965" top="0.98425196850393704" bottom="0.98425196850393704" header="0.51181102362204722" footer="0.51181102362204722"/>
  <pageSetup paperSize="9" scale="44" firstPageNumber="0" fitToHeight="0" orientation="landscape" horizontalDpi="300" verticalDpi="300" r:id="rId1"/>
  <headerFooter alignWithMargins="0">
    <oddFooter>&amp;CStránka &amp;P&amp;R&amp;A</oddFoot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8"/>
  <sheetViews>
    <sheetView workbookViewId="0">
      <selection sqref="A1:F1"/>
    </sheetView>
  </sheetViews>
  <sheetFormatPr defaultColWidth="19.42578125" defaultRowHeight="12.75" x14ac:dyDescent="0.2"/>
  <cols>
    <col min="1" max="1" width="34.28515625" style="101" customWidth="1"/>
    <col min="2" max="3" width="18.7109375" style="101" customWidth="1"/>
    <col min="4" max="4" width="19.42578125" style="102"/>
    <col min="5" max="5" width="24.42578125" style="102" bestFit="1" customWidth="1"/>
    <col min="6" max="6" width="24.5703125" style="102" customWidth="1"/>
    <col min="7" max="252" width="9.140625" style="101" customWidth="1"/>
    <col min="253" max="253" width="34.28515625" style="101" customWidth="1"/>
    <col min="254" max="255" width="18.7109375" style="101" customWidth="1"/>
    <col min="256" max="16384" width="19.42578125" style="101"/>
  </cols>
  <sheetData>
    <row r="1" spans="1:6" ht="15.75" customHeight="1" x14ac:dyDescent="0.25">
      <c r="A1" s="764" t="s">
        <v>392</v>
      </c>
      <c r="B1" s="764"/>
      <c r="C1" s="764"/>
      <c r="D1" s="764"/>
      <c r="E1" s="764"/>
      <c r="F1" s="764"/>
    </row>
    <row r="3" spans="1:6" x14ac:dyDescent="0.2">
      <c r="A3" s="103"/>
      <c r="B3" s="104" t="s">
        <v>0</v>
      </c>
      <c r="C3" s="104" t="s">
        <v>1</v>
      </c>
      <c r="D3" s="104" t="s">
        <v>2</v>
      </c>
      <c r="E3" s="104" t="s">
        <v>391</v>
      </c>
      <c r="F3" s="104" t="s">
        <v>387</v>
      </c>
    </row>
    <row r="4" spans="1:6" ht="15.75" x14ac:dyDescent="0.25">
      <c r="A4" s="105" t="s">
        <v>377</v>
      </c>
      <c r="B4" s="106">
        <f>'pomocná tabuľka - príjmy 2013'!B3</f>
        <v>10611235.030000001</v>
      </c>
      <c r="C4" s="106">
        <f>'pomocná tabuľka - príjmy 2013'!C3</f>
        <v>10916798.300000001</v>
      </c>
      <c r="D4" s="107">
        <f>'pomocná tabuľka - príjmy 2013'!D3</f>
        <v>11688460</v>
      </c>
      <c r="E4" s="107">
        <f>'pomocná tabuľka - príjmy 2013'!E3</f>
        <v>11192555</v>
      </c>
      <c r="F4" s="107">
        <f>'pomocná tabuľka - príjmy 2013'!F3</f>
        <v>11690737</v>
      </c>
    </row>
    <row r="5" spans="1:6" ht="15.75" x14ac:dyDescent="0.25">
      <c r="A5" s="105" t="s">
        <v>378</v>
      </c>
      <c r="B5" s="106" t="e">
        <f>'pomocná tabuľka - výdavky 2013'!E8</f>
        <v>#REF!</v>
      </c>
      <c r="C5" s="106">
        <v>10615926</v>
      </c>
      <c r="D5" s="107" t="e">
        <f>'pomocná tabuľka - výdavky 2013'!M8</f>
        <v>#REF!</v>
      </c>
      <c r="E5" s="107">
        <f>'pomocná tabuľka - výdavky 2013'!Q8</f>
        <v>10730799.140000001</v>
      </c>
      <c r="F5" s="107" t="e">
        <f>'pomocná tabuľka - výdavky 2013'!U8</f>
        <v>#REF!</v>
      </c>
    </row>
    <row r="6" spans="1:6" ht="15.75" x14ac:dyDescent="0.25">
      <c r="A6" s="105" t="s">
        <v>379</v>
      </c>
      <c r="B6" s="106" t="e">
        <f>B4-B5</f>
        <v>#REF!</v>
      </c>
      <c r="C6" s="106">
        <f>C4-C5</f>
        <v>300872.30000000075</v>
      </c>
      <c r="D6" s="107" t="e">
        <f>D4-D5</f>
        <v>#REF!</v>
      </c>
      <c r="E6" s="107">
        <f>E4-E5</f>
        <v>461755.8599999994</v>
      </c>
      <c r="F6" s="107" t="e">
        <f>F4-F5</f>
        <v>#REF!</v>
      </c>
    </row>
    <row r="7" spans="1:6" ht="15.75" x14ac:dyDescent="0.25">
      <c r="A7" s="105"/>
      <c r="B7" s="106"/>
      <c r="C7" s="106"/>
      <c r="D7" s="107"/>
      <c r="E7" s="107"/>
      <c r="F7" s="107"/>
    </row>
    <row r="8" spans="1:6" ht="15.75" x14ac:dyDescent="0.25">
      <c r="A8" s="105" t="s">
        <v>380</v>
      </c>
      <c r="B8" s="106">
        <f>'pomocná tabuľka - príjmy 2013'!B112</f>
        <v>761844.80999999994</v>
      </c>
      <c r="C8" s="106">
        <f>'pomocná tabuľka - príjmy 2013'!C112</f>
        <v>828632.72</v>
      </c>
      <c r="D8" s="107">
        <f>'pomocná tabuľka - príjmy 2013'!D112</f>
        <v>3640369</v>
      </c>
      <c r="E8" s="107">
        <f>'pomocná tabuľka - príjmy 2013'!E112</f>
        <v>735941</v>
      </c>
      <c r="F8" s="107">
        <f>'pomocná tabuľka - príjmy 2013'!F112</f>
        <v>4291701</v>
      </c>
    </row>
    <row r="9" spans="1:6" ht="15.75" x14ac:dyDescent="0.25">
      <c r="A9" s="105" t="s">
        <v>381</v>
      </c>
      <c r="B9" s="106">
        <v>1349332</v>
      </c>
      <c r="C9" s="106">
        <v>785108</v>
      </c>
      <c r="D9" s="107" t="e">
        <f>'pomocná tabuľka - výdavky 2013'!N8</f>
        <v>#REF!</v>
      </c>
      <c r="E9" s="107">
        <f>'pomocná tabuľka - výdavky 2013'!R8</f>
        <v>957999</v>
      </c>
      <c r="F9" s="107" t="e">
        <f>'pomocná tabuľka - výdavky 2013'!V8</f>
        <v>#REF!</v>
      </c>
    </row>
    <row r="10" spans="1:6" ht="15.75" x14ac:dyDescent="0.25">
      <c r="A10" s="105" t="s">
        <v>379</v>
      </c>
      <c r="B10" s="106">
        <f>B8-B9</f>
        <v>-587487.19000000006</v>
      </c>
      <c r="C10" s="106">
        <f>C8-C9</f>
        <v>43524.719999999972</v>
      </c>
      <c r="D10" s="107" t="e">
        <f>D8-D9</f>
        <v>#REF!</v>
      </c>
      <c r="E10" s="107">
        <f>E8-E9</f>
        <v>-222058</v>
      </c>
      <c r="F10" s="107" t="e">
        <f>F8-F9</f>
        <v>#REF!</v>
      </c>
    </row>
    <row r="11" spans="1:6" ht="15.75" x14ac:dyDescent="0.25">
      <c r="A11" s="105"/>
      <c r="B11" s="106"/>
      <c r="C11" s="106"/>
      <c r="D11" s="107"/>
      <c r="E11" s="107"/>
      <c r="F11" s="107"/>
    </row>
    <row r="12" spans="1:6" ht="15.75" x14ac:dyDescent="0.25">
      <c r="A12" s="105" t="s">
        <v>127</v>
      </c>
      <c r="B12" s="106">
        <f>'pomocná tabuľka - príjmy 2013'!B129</f>
        <v>1094060.6099999999</v>
      </c>
      <c r="C12" s="106">
        <f>'pomocná tabuľka - príjmy 2013'!C129</f>
        <v>353398.41</v>
      </c>
      <c r="D12" s="107">
        <f>'pomocná tabuľka - príjmy 2013'!D129</f>
        <v>574727</v>
      </c>
      <c r="E12" s="107">
        <f>'pomocná tabuľka - príjmy 2013'!E129</f>
        <v>574727</v>
      </c>
      <c r="F12" s="107">
        <f>'pomocná tabuľka - príjmy 2013'!F129</f>
        <v>476000</v>
      </c>
    </row>
    <row r="13" spans="1:6" ht="15.75" x14ac:dyDescent="0.25">
      <c r="A13" s="105" t="s">
        <v>382</v>
      </c>
      <c r="B13" s="106">
        <v>320596</v>
      </c>
      <c r="C13" s="106" t="e">
        <f>'pomocná tabuľka - výdavky 2013'!K8</f>
        <v>#REF!</v>
      </c>
      <c r="D13" s="107" t="e">
        <f>'pomocná tabuľka - výdavky 2013'!O8</f>
        <v>#REF!</v>
      </c>
      <c r="E13" s="107">
        <f>'pomocná tabuľka - výdavky 2013'!S8</f>
        <v>654683.57999999996</v>
      </c>
      <c r="F13" s="107" t="e">
        <f>'pomocná tabuľka - výdavky 2013'!W8</f>
        <v>#REF!</v>
      </c>
    </row>
    <row r="14" spans="1:6" ht="15.75" x14ac:dyDescent="0.25">
      <c r="A14" s="108" t="s">
        <v>379</v>
      </c>
      <c r="B14" s="109">
        <f>B12-B13</f>
        <v>773464.60999999987</v>
      </c>
      <c r="C14" s="109" t="e">
        <f>C12-C13</f>
        <v>#REF!</v>
      </c>
      <c r="D14" s="110" t="e">
        <f>D12-D13</f>
        <v>#REF!</v>
      </c>
      <c r="E14" s="110">
        <f>E12-E13</f>
        <v>-79956.579999999958</v>
      </c>
      <c r="F14" s="110" t="e">
        <f>F12-F13</f>
        <v>#REF!</v>
      </c>
    </row>
    <row r="15" spans="1:6" x14ac:dyDescent="0.2">
      <c r="A15" s="111"/>
      <c r="B15" s="102"/>
      <c r="C15" s="102"/>
    </row>
    <row r="16" spans="1:6" ht="18" x14ac:dyDescent="0.25">
      <c r="A16" s="112" t="s">
        <v>130</v>
      </c>
      <c r="B16" s="113">
        <f t="shared" ref="B16:D17" si="0">B4+B8+B12</f>
        <v>12467140.450000001</v>
      </c>
      <c r="C16" s="113">
        <f t="shared" si="0"/>
        <v>12098829.430000002</v>
      </c>
      <c r="D16" s="114">
        <f t="shared" si="0"/>
        <v>15903556</v>
      </c>
      <c r="E16" s="114">
        <f>E4+E8+E12</f>
        <v>12503223</v>
      </c>
      <c r="F16" s="114">
        <f>F4+F8+F12</f>
        <v>16458438</v>
      </c>
    </row>
    <row r="17" spans="1:6" ht="18" x14ac:dyDescent="0.25">
      <c r="A17" s="115" t="s">
        <v>383</v>
      </c>
      <c r="B17" s="116" t="e">
        <f t="shared" si="0"/>
        <v>#REF!</v>
      </c>
      <c r="C17" s="116" t="e">
        <f t="shared" si="0"/>
        <v>#REF!</v>
      </c>
      <c r="D17" s="117" t="e">
        <f t="shared" si="0"/>
        <v>#REF!</v>
      </c>
      <c r="E17" s="117">
        <f>E5+E9+E13</f>
        <v>12343481.720000001</v>
      </c>
      <c r="F17" s="117" t="e">
        <f>F5+F9+F13</f>
        <v>#REF!</v>
      </c>
    </row>
    <row r="18" spans="1:6" ht="18" x14ac:dyDescent="0.25">
      <c r="A18" s="118" t="s">
        <v>384</v>
      </c>
      <c r="B18" s="119" t="e">
        <f>B16-B17</f>
        <v>#REF!</v>
      </c>
      <c r="C18" s="119" t="e">
        <f>C16-C17</f>
        <v>#REF!</v>
      </c>
      <c r="D18" s="120" t="e">
        <f>D16-D17</f>
        <v>#REF!</v>
      </c>
      <c r="E18" s="120">
        <f>E16-E17</f>
        <v>159741.27999999933</v>
      </c>
      <c r="F18" s="120" t="e">
        <f>F16-F17</f>
        <v>#REF!</v>
      </c>
    </row>
  </sheetData>
  <sheetProtection selectLockedCells="1" selectUnlockedCells="1"/>
  <mergeCells count="1">
    <mergeCell ref="A1:F1"/>
  </mergeCells>
  <phoneticPr fontId="0" type="noConversion"/>
  <pageMargins left="0.78749999999999998" right="0.78749999999999998" top="0.98402777777777772" bottom="0.98402777777777772" header="0.51180555555555551" footer="0.51180555555555551"/>
  <pageSetup paperSize="9" scale="91" firstPageNumber="0" fitToHeight="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workbookViewId="0">
      <selection activeCell="F24" sqref="F24"/>
    </sheetView>
  </sheetViews>
  <sheetFormatPr defaultRowHeight="15.75" x14ac:dyDescent="0.25"/>
  <cols>
    <col min="1" max="1" width="9.140625" style="390"/>
    <col min="2" max="2" width="63.140625" style="390" bestFit="1" customWidth="1"/>
    <col min="3" max="3" width="17.5703125" style="394" bestFit="1" customWidth="1"/>
    <col min="4" max="4" width="17.5703125" style="470" bestFit="1" customWidth="1"/>
    <col min="5" max="6" width="17.5703125" style="470" customWidth="1"/>
  </cols>
  <sheetData>
    <row r="1" spans="1:6" ht="16.5" thickBot="1" x14ac:dyDescent="0.3">
      <c r="A1" s="765" t="s">
        <v>705</v>
      </c>
      <c r="B1" s="765"/>
      <c r="C1" s="765"/>
      <c r="D1" s="765"/>
      <c r="E1" s="765"/>
      <c r="F1" s="765"/>
    </row>
    <row r="2" spans="1:6" s="536" customFormat="1" ht="50.25" customHeight="1" thickBot="1" x14ac:dyDescent="0.3">
      <c r="A2" s="534" t="s">
        <v>615</v>
      </c>
      <c r="B2" s="535" t="s">
        <v>381</v>
      </c>
      <c r="C2" s="652" t="s">
        <v>689</v>
      </c>
      <c r="D2" s="652" t="s">
        <v>690</v>
      </c>
      <c r="E2" s="653" t="s">
        <v>679</v>
      </c>
      <c r="F2" s="653" t="s">
        <v>680</v>
      </c>
    </row>
    <row r="3" spans="1:6" x14ac:dyDescent="0.25">
      <c r="A3" s="533" t="s">
        <v>446</v>
      </c>
      <c r="B3" s="530" t="s">
        <v>452</v>
      </c>
      <c r="C3" s="531">
        <v>20000</v>
      </c>
      <c r="D3" s="629">
        <v>20000</v>
      </c>
      <c r="E3" s="629">
        <v>50000</v>
      </c>
      <c r="F3" s="629">
        <f>D3+E3</f>
        <v>70000</v>
      </c>
    </row>
    <row r="4" spans="1:6" x14ac:dyDescent="0.25">
      <c r="A4" s="644" t="s">
        <v>656</v>
      </c>
      <c r="B4" s="530" t="s">
        <v>662</v>
      </c>
      <c r="C4" s="531">
        <v>148600</v>
      </c>
      <c r="D4" s="629">
        <v>148600</v>
      </c>
      <c r="E4" s="629">
        <v>-9700</v>
      </c>
      <c r="F4" s="630">
        <f t="shared" ref="F4:F27" si="0">D4+E4</f>
        <v>138900</v>
      </c>
    </row>
    <row r="5" spans="1:6" x14ac:dyDescent="0.25">
      <c r="A5" s="769" t="s">
        <v>570</v>
      </c>
      <c r="B5" s="530" t="s">
        <v>657</v>
      </c>
      <c r="C5" s="531">
        <v>10000</v>
      </c>
      <c r="D5" s="629">
        <v>15000</v>
      </c>
      <c r="E5" s="629"/>
      <c r="F5" s="630">
        <f t="shared" si="0"/>
        <v>15000</v>
      </c>
    </row>
    <row r="6" spans="1:6" x14ac:dyDescent="0.25">
      <c r="A6" s="766"/>
      <c r="B6" s="530" t="s">
        <v>688</v>
      </c>
      <c r="C6" s="531"/>
      <c r="D6" s="629">
        <v>2100</v>
      </c>
      <c r="E6" s="629"/>
      <c r="F6" s="630">
        <f t="shared" si="0"/>
        <v>2100</v>
      </c>
    </row>
    <row r="7" spans="1:6" x14ac:dyDescent="0.25">
      <c r="A7" s="767"/>
      <c r="B7" s="387" t="s">
        <v>447</v>
      </c>
      <c r="C7" s="391">
        <v>115000</v>
      </c>
      <c r="D7" s="630">
        <v>115000</v>
      </c>
      <c r="E7" s="630"/>
      <c r="F7" s="630">
        <f t="shared" si="0"/>
        <v>115000</v>
      </c>
    </row>
    <row r="8" spans="1:6" x14ac:dyDescent="0.25">
      <c r="A8" s="769" t="s">
        <v>448</v>
      </c>
      <c r="B8" s="387" t="s">
        <v>565</v>
      </c>
      <c r="C8" s="391">
        <v>227000</v>
      </c>
      <c r="D8" s="630">
        <v>227000</v>
      </c>
      <c r="E8" s="630"/>
      <c r="F8" s="630">
        <f t="shared" si="0"/>
        <v>227000</v>
      </c>
    </row>
    <row r="9" spans="1:6" x14ac:dyDescent="0.25">
      <c r="A9" s="766"/>
      <c r="B9" s="387" t="s">
        <v>697</v>
      </c>
      <c r="C9" s="391"/>
      <c r="D9" s="630"/>
      <c r="E9" s="630">
        <v>55000</v>
      </c>
      <c r="F9" s="630">
        <f t="shared" si="0"/>
        <v>55000</v>
      </c>
    </row>
    <row r="10" spans="1:6" x14ac:dyDescent="0.25">
      <c r="A10" s="766"/>
      <c r="B10" s="387" t="s">
        <v>663</v>
      </c>
      <c r="C10" s="391">
        <v>16800</v>
      </c>
      <c r="D10" s="630">
        <v>16800</v>
      </c>
      <c r="E10" s="630"/>
      <c r="F10" s="630">
        <f t="shared" si="0"/>
        <v>16800</v>
      </c>
    </row>
    <row r="11" spans="1:6" x14ac:dyDescent="0.25">
      <c r="A11" s="767"/>
      <c r="B11" s="387" t="s">
        <v>629</v>
      </c>
      <c r="C11" s="391">
        <v>5791600</v>
      </c>
      <c r="D11" s="630">
        <v>5791600</v>
      </c>
      <c r="E11" s="630">
        <v>61500</v>
      </c>
      <c r="F11" s="630">
        <f t="shared" si="0"/>
        <v>5853100</v>
      </c>
    </row>
    <row r="12" spans="1:6" x14ac:dyDescent="0.25">
      <c r="A12" s="766" t="s">
        <v>545</v>
      </c>
      <c r="B12" s="387" t="s">
        <v>691</v>
      </c>
      <c r="C12" s="391"/>
      <c r="D12" s="630">
        <v>2721</v>
      </c>
      <c r="E12" s="630">
        <v>7000</v>
      </c>
      <c r="F12" s="630">
        <f t="shared" si="0"/>
        <v>9721</v>
      </c>
    </row>
    <row r="13" spans="1:6" x14ac:dyDescent="0.25">
      <c r="A13" s="766"/>
      <c r="B13" s="387" t="s">
        <v>692</v>
      </c>
      <c r="C13" s="391"/>
      <c r="D13" s="630">
        <v>11732</v>
      </c>
      <c r="E13" s="630"/>
      <c r="F13" s="630">
        <f t="shared" si="0"/>
        <v>11732</v>
      </c>
    </row>
    <row r="14" spans="1:6" x14ac:dyDescent="0.25">
      <c r="A14" s="766"/>
      <c r="B14" s="387" t="s">
        <v>693</v>
      </c>
      <c r="C14" s="391"/>
      <c r="D14" s="630"/>
      <c r="E14" s="630">
        <v>11000</v>
      </c>
      <c r="F14" s="630">
        <f t="shared" si="0"/>
        <v>11000</v>
      </c>
    </row>
    <row r="15" spans="1:6" x14ac:dyDescent="0.25">
      <c r="A15" s="767"/>
      <c r="B15" s="388" t="s">
        <v>604</v>
      </c>
      <c r="C15" s="391">
        <v>20000</v>
      </c>
      <c r="D15" s="630">
        <v>20000</v>
      </c>
      <c r="E15" s="630">
        <v>-11000</v>
      </c>
      <c r="F15" s="630">
        <f t="shared" si="0"/>
        <v>9000</v>
      </c>
    </row>
    <row r="16" spans="1:6" x14ac:dyDescent="0.25">
      <c r="A16" s="529" t="s">
        <v>628</v>
      </c>
      <c r="B16" s="388" t="s">
        <v>627</v>
      </c>
      <c r="C16" s="391">
        <v>85000</v>
      </c>
      <c r="D16" s="630">
        <v>85000</v>
      </c>
      <c r="E16" s="630">
        <v>5</v>
      </c>
      <c r="F16" s="630">
        <f t="shared" si="0"/>
        <v>85005</v>
      </c>
    </row>
    <row r="17" spans="1:6" x14ac:dyDescent="0.25">
      <c r="A17" s="533"/>
      <c r="B17" s="388" t="s">
        <v>605</v>
      </c>
      <c r="C17" s="391">
        <v>494000</v>
      </c>
      <c r="D17" s="630">
        <v>494000</v>
      </c>
      <c r="E17" s="630"/>
      <c r="F17" s="630">
        <f t="shared" si="0"/>
        <v>494000</v>
      </c>
    </row>
    <row r="18" spans="1:6" x14ac:dyDescent="0.25">
      <c r="A18" s="769" t="s">
        <v>589</v>
      </c>
      <c r="B18" s="388" t="s">
        <v>694</v>
      </c>
      <c r="C18" s="391">
        <f>26500+40000</f>
        <v>66500</v>
      </c>
      <c r="D18" s="630">
        <v>66500</v>
      </c>
      <c r="E18" s="630"/>
      <c r="F18" s="630">
        <f t="shared" si="0"/>
        <v>66500</v>
      </c>
    </row>
    <row r="19" spans="1:6" x14ac:dyDescent="0.25">
      <c r="A19" s="766"/>
      <c r="B19" s="388" t="s">
        <v>695</v>
      </c>
      <c r="C19" s="391"/>
      <c r="D19" s="630"/>
      <c r="E19" s="630">
        <v>4500</v>
      </c>
      <c r="F19" s="630">
        <f t="shared" si="0"/>
        <v>4500</v>
      </c>
    </row>
    <row r="20" spans="1:6" x14ac:dyDescent="0.25">
      <c r="A20" s="766"/>
      <c r="B20" s="387" t="s">
        <v>658</v>
      </c>
      <c r="C20" s="391">
        <v>905000</v>
      </c>
      <c r="D20" s="630">
        <v>905000</v>
      </c>
      <c r="E20" s="630">
        <v>6660</v>
      </c>
      <c r="F20" s="630">
        <f t="shared" si="0"/>
        <v>911660</v>
      </c>
    </row>
    <row r="21" spans="1:6" x14ac:dyDescent="0.25">
      <c r="A21" s="766"/>
      <c r="B21" s="387" t="s">
        <v>664</v>
      </c>
      <c r="C21" s="391">
        <v>0</v>
      </c>
      <c r="D21" s="630"/>
      <c r="E21" s="630"/>
      <c r="F21" s="630">
        <f t="shared" si="0"/>
        <v>0</v>
      </c>
    </row>
    <row r="22" spans="1:6" x14ac:dyDescent="0.25">
      <c r="A22" s="767"/>
      <c r="B22" s="388" t="s">
        <v>611</v>
      </c>
      <c r="C22" s="391"/>
      <c r="D22" s="630"/>
      <c r="E22" s="630"/>
      <c r="F22" s="630">
        <f t="shared" si="0"/>
        <v>0</v>
      </c>
    </row>
    <row r="23" spans="1:6" x14ac:dyDescent="0.25">
      <c r="A23" s="769" t="s">
        <v>625</v>
      </c>
      <c r="B23" s="388" t="s">
        <v>696</v>
      </c>
      <c r="C23" s="391"/>
      <c r="D23" s="630">
        <v>16640</v>
      </c>
      <c r="E23" s="630"/>
      <c r="F23" s="630">
        <f t="shared" si="0"/>
        <v>16640</v>
      </c>
    </row>
    <row r="24" spans="1:6" x14ac:dyDescent="0.25">
      <c r="A24" s="766"/>
      <c r="B24" s="388" t="s">
        <v>708</v>
      </c>
      <c r="C24" s="391"/>
      <c r="D24" s="630"/>
      <c r="E24" s="630">
        <v>11000</v>
      </c>
      <c r="F24" s="630">
        <f t="shared" si="0"/>
        <v>11000</v>
      </c>
    </row>
    <row r="25" spans="1:6" x14ac:dyDescent="0.25">
      <c r="A25" s="767"/>
      <c r="B25" s="387" t="s">
        <v>544</v>
      </c>
      <c r="C25" s="391">
        <v>10000</v>
      </c>
      <c r="D25" s="630">
        <v>10000</v>
      </c>
      <c r="E25" s="630"/>
      <c r="F25" s="630">
        <f t="shared" si="0"/>
        <v>10000</v>
      </c>
    </row>
    <row r="26" spans="1:6" x14ac:dyDescent="0.25">
      <c r="A26" s="766" t="s">
        <v>449</v>
      </c>
      <c r="B26" s="389" t="s">
        <v>624</v>
      </c>
      <c r="C26" s="532">
        <f>697200+74500</f>
        <v>771700</v>
      </c>
      <c r="D26" s="631">
        <v>750060</v>
      </c>
      <c r="E26" s="631">
        <v>-45060</v>
      </c>
      <c r="F26" s="630">
        <f t="shared" si="0"/>
        <v>705000</v>
      </c>
    </row>
    <row r="27" spans="1:6" ht="16.5" thickBot="1" x14ac:dyDescent="0.3">
      <c r="A27" s="768"/>
      <c r="B27" s="389" t="s">
        <v>450</v>
      </c>
      <c r="C27" s="392">
        <v>20000</v>
      </c>
      <c r="D27" s="632">
        <v>20000</v>
      </c>
      <c r="E27" s="632"/>
      <c r="F27" s="631">
        <f t="shared" si="0"/>
        <v>20000</v>
      </c>
    </row>
    <row r="28" spans="1:6" s="329" customFormat="1" ht="16.5" thickBot="1" x14ac:dyDescent="0.3">
      <c r="A28" s="468"/>
      <c r="B28" s="469" t="s">
        <v>451</v>
      </c>
      <c r="C28" s="393">
        <f>SUM(C3:C27)</f>
        <v>8701200</v>
      </c>
      <c r="D28" s="633">
        <f>SUM(D3:D27)</f>
        <v>8717753</v>
      </c>
      <c r="E28" s="633">
        <f>SUM(E3:E27)</f>
        <v>140905</v>
      </c>
      <c r="F28" s="633">
        <f>SUM(F3:F27)</f>
        <v>8858658</v>
      </c>
    </row>
  </sheetData>
  <mergeCells count="7">
    <mergeCell ref="A1:F1"/>
    <mergeCell ref="A12:A15"/>
    <mergeCell ref="A26:A27"/>
    <mergeCell ref="A18:A22"/>
    <mergeCell ref="A8:A11"/>
    <mergeCell ref="A5:A7"/>
    <mergeCell ref="A23:A25"/>
  </mergeCells>
  <pageMargins left="0.7" right="0.7" top="0.75" bottom="0.75" header="0.3" footer="0.3"/>
  <pageSetup paperSize="9" scale="6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4"/>
  <sheetViews>
    <sheetView topLeftCell="E22" workbookViewId="0">
      <selection activeCell="J52" sqref="J52"/>
    </sheetView>
  </sheetViews>
  <sheetFormatPr defaultRowHeight="15" x14ac:dyDescent="0.25"/>
  <cols>
    <col min="1" max="1" width="9.140625" style="470"/>
    <col min="2" max="2" width="23.42578125" style="470" bestFit="1" customWidth="1"/>
    <col min="3" max="3" width="9.140625" style="470"/>
    <col min="4" max="4" width="10.28515625" style="470" bestFit="1" customWidth="1"/>
    <col min="5" max="5" width="9.140625" style="470"/>
    <col min="6" max="9" width="10" style="470" customWidth="1"/>
    <col min="10" max="10" width="11.28515625" style="470" bestFit="1" customWidth="1"/>
    <col min="11" max="11" width="19.140625" style="470" customWidth="1"/>
    <col min="12" max="12" width="9.42578125" style="470" bestFit="1" customWidth="1"/>
    <col min="13" max="13" width="16.85546875" style="470" bestFit="1" customWidth="1"/>
    <col min="14" max="15" width="14.140625" style="470" bestFit="1" customWidth="1"/>
    <col min="16" max="17" width="12.5703125" style="470" bestFit="1" customWidth="1"/>
    <col min="18" max="22" width="13.5703125" style="470" customWidth="1"/>
    <col min="23" max="23" width="9.140625" style="470"/>
  </cols>
  <sheetData>
    <row r="1" spans="1:22" ht="16.5" customHeight="1" thickBot="1" x14ac:dyDescent="0.3">
      <c r="A1" s="809" t="s">
        <v>706</v>
      </c>
      <c r="B1" s="810"/>
      <c r="C1" s="810"/>
      <c r="D1" s="810"/>
      <c r="E1" s="810"/>
      <c r="F1" s="810"/>
      <c r="G1" s="810"/>
      <c r="H1" s="810"/>
      <c r="I1" s="810"/>
      <c r="J1" s="810"/>
      <c r="K1" s="810"/>
      <c r="L1" s="810"/>
      <c r="M1" s="810"/>
      <c r="N1" s="810"/>
      <c r="O1" s="810"/>
      <c r="P1" s="810"/>
      <c r="Q1" s="810"/>
      <c r="R1" s="810"/>
      <c r="S1" s="810"/>
      <c r="T1" s="810"/>
      <c r="U1" s="810"/>
      <c r="V1" s="810"/>
    </row>
    <row r="2" spans="1:22" ht="15" customHeight="1" x14ac:dyDescent="0.25">
      <c r="A2" s="791" t="s">
        <v>471</v>
      </c>
      <c r="B2" s="794" t="s">
        <v>472</v>
      </c>
      <c r="C2" s="834" t="s">
        <v>378</v>
      </c>
      <c r="D2" s="835"/>
      <c r="E2" s="835"/>
      <c r="F2" s="835"/>
      <c r="G2" s="835"/>
      <c r="H2" s="835"/>
      <c r="I2" s="835"/>
      <c r="J2" s="835"/>
      <c r="K2" s="836"/>
      <c r="L2" s="537"/>
      <c r="M2" s="820" t="s">
        <v>474</v>
      </c>
      <c r="N2" s="825" t="s">
        <v>566</v>
      </c>
      <c r="O2" s="826"/>
      <c r="P2" s="826"/>
      <c r="Q2" s="827"/>
      <c r="R2" s="814" t="s">
        <v>567</v>
      </c>
      <c r="S2" s="815"/>
      <c r="T2" s="815"/>
      <c r="U2" s="815"/>
      <c r="V2" s="816"/>
    </row>
    <row r="3" spans="1:22" ht="24.75" customHeight="1" x14ac:dyDescent="0.25">
      <c r="A3" s="792"/>
      <c r="B3" s="795"/>
      <c r="C3" s="797" t="s">
        <v>475</v>
      </c>
      <c r="D3" s="798"/>
      <c r="E3" s="799"/>
      <c r="F3" s="800" t="s">
        <v>476</v>
      </c>
      <c r="G3" s="801"/>
      <c r="H3" s="802"/>
      <c r="I3" s="788" t="s">
        <v>551</v>
      </c>
      <c r="J3" s="803" t="s">
        <v>477</v>
      </c>
      <c r="K3" s="523" t="s">
        <v>478</v>
      </c>
      <c r="L3" s="774" t="s">
        <v>473</v>
      </c>
      <c r="M3" s="821"/>
      <c r="N3" s="828"/>
      <c r="O3" s="829"/>
      <c r="P3" s="829"/>
      <c r="Q3" s="830"/>
      <c r="R3" s="817"/>
      <c r="S3" s="818"/>
      <c r="T3" s="818"/>
      <c r="U3" s="818"/>
      <c r="V3" s="819"/>
    </row>
    <row r="4" spans="1:22" ht="15.75" thickBot="1" x14ac:dyDescent="0.3">
      <c r="A4" s="792"/>
      <c r="B4" s="795"/>
      <c r="C4" s="806" t="s">
        <v>396</v>
      </c>
      <c r="D4" s="800" t="s">
        <v>479</v>
      </c>
      <c r="E4" s="802"/>
      <c r="F4" s="823" t="s">
        <v>480</v>
      </c>
      <c r="G4" s="779" t="s">
        <v>481</v>
      </c>
      <c r="H4" s="778" t="s">
        <v>550</v>
      </c>
      <c r="I4" s="789"/>
      <c r="J4" s="804"/>
      <c r="K4" s="781" t="s">
        <v>482</v>
      </c>
      <c r="L4" s="774"/>
      <c r="M4" s="821"/>
      <c r="N4" s="828"/>
      <c r="O4" s="829"/>
      <c r="P4" s="829"/>
      <c r="Q4" s="830"/>
      <c r="R4" s="811"/>
      <c r="S4" s="812"/>
      <c r="T4" s="812"/>
      <c r="U4" s="812"/>
      <c r="V4" s="813"/>
    </row>
    <row r="5" spans="1:22" ht="45" x14ac:dyDescent="0.25">
      <c r="A5" s="792"/>
      <c r="B5" s="795"/>
      <c r="C5" s="807"/>
      <c r="D5" s="784" t="s">
        <v>483</v>
      </c>
      <c r="E5" s="786" t="s">
        <v>484</v>
      </c>
      <c r="F5" s="823"/>
      <c r="G5" s="779"/>
      <c r="H5" s="779"/>
      <c r="I5" s="789"/>
      <c r="J5" s="804"/>
      <c r="K5" s="782"/>
      <c r="L5" s="774"/>
      <c r="M5" s="821"/>
      <c r="N5" s="457" t="s">
        <v>135</v>
      </c>
      <c r="O5" s="831" t="s">
        <v>676</v>
      </c>
      <c r="P5" s="832"/>
      <c r="Q5" s="833"/>
      <c r="R5" s="471" t="s">
        <v>594</v>
      </c>
      <c r="S5" s="472" t="s">
        <v>595</v>
      </c>
      <c r="T5" s="473" t="s">
        <v>557</v>
      </c>
      <c r="U5" s="837" t="s">
        <v>563</v>
      </c>
      <c r="V5" s="474" t="s">
        <v>558</v>
      </c>
    </row>
    <row r="6" spans="1:22" ht="15" customHeight="1" thickBot="1" x14ac:dyDescent="0.3">
      <c r="A6" s="793"/>
      <c r="B6" s="796"/>
      <c r="C6" s="808"/>
      <c r="D6" s="785"/>
      <c r="E6" s="787"/>
      <c r="F6" s="824"/>
      <c r="G6" s="780"/>
      <c r="H6" s="780"/>
      <c r="I6" s="790"/>
      <c r="J6" s="805"/>
      <c r="K6" s="783"/>
      <c r="L6" s="775"/>
      <c r="M6" s="822"/>
      <c r="N6" s="456" t="s">
        <v>642</v>
      </c>
      <c r="O6" s="589" t="s">
        <v>141</v>
      </c>
      <c r="P6" s="451" t="s">
        <v>142</v>
      </c>
      <c r="Q6" s="461" t="s">
        <v>562</v>
      </c>
      <c r="R6" s="811" t="s">
        <v>141</v>
      </c>
      <c r="S6" s="812"/>
      <c r="T6" s="813"/>
      <c r="U6" s="838"/>
      <c r="V6" s="475" t="s">
        <v>564</v>
      </c>
    </row>
    <row r="7" spans="1:22" ht="15.75" thickBot="1" x14ac:dyDescent="0.3">
      <c r="A7" s="418" t="s">
        <v>485</v>
      </c>
      <c r="B7" s="512"/>
      <c r="C7" s="435">
        <f>C9+C18+C25+C46</f>
        <v>6592237</v>
      </c>
      <c r="D7" s="419">
        <f>D18+D46</f>
        <v>5857842</v>
      </c>
      <c r="E7" s="419">
        <f>E9+E18+E25+E46</f>
        <v>734395</v>
      </c>
      <c r="F7" s="419">
        <f>F9+F18+F25+F8+F46</f>
        <v>4702000</v>
      </c>
      <c r="G7" s="419">
        <f>G9+G18+G25+G46</f>
        <v>903547</v>
      </c>
      <c r="H7" s="419">
        <f>H9+H18+H46</f>
        <v>554938</v>
      </c>
      <c r="I7" s="419">
        <f>I9+I18+I46</f>
        <v>544842</v>
      </c>
      <c r="J7" s="419">
        <f>J9+J18+J25+J46+J8</f>
        <v>13297564</v>
      </c>
      <c r="K7" s="436">
        <f>K9+K18+K25</f>
        <v>10394577</v>
      </c>
      <c r="L7" s="436">
        <f>L9+L18+L25+L46</f>
        <v>41453</v>
      </c>
      <c r="M7" s="426">
        <f>M9+M18+M25+M46+M8</f>
        <v>13339017</v>
      </c>
      <c r="N7" s="407">
        <f>N9+N18+N25+N29+N45+N46+N47</f>
        <v>12915569</v>
      </c>
      <c r="O7" s="420">
        <f>O9+O18+O25+O29+O45+O47</f>
        <v>12883116</v>
      </c>
      <c r="P7" s="421">
        <f>P9+P18+P25+P29+P45</f>
        <v>32453</v>
      </c>
      <c r="Q7" s="458"/>
      <c r="R7" s="420">
        <f>R9+R18+R25</f>
        <v>505680</v>
      </c>
      <c r="S7" s="421">
        <f>S9+S18+S25</f>
        <v>12335</v>
      </c>
      <c r="T7" s="458">
        <f>T9+T18+T25</f>
        <v>504720</v>
      </c>
      <c r="U7" s="407"/>
      <c r="V7" s="407">
        <f>V9+V18+V25</f>
        <v>34938</v>
      </c>
    </row>
    <row r="8" spans="1:22" ht="15.75" thickBot="1" x14ac:dyDescent="0.3">
      <c r="A8" s="411" t="s">
        <v>486</v>
      </c>
      <c r="B8" s="513" t="s">
        <v>487</v>
      </c>
      <c r="C8" s="524"/>
      <c r="D8" s="412"/>
      <c r="E8" s="413"/>
      <c r="F8" s="414">
        <v>5000</v>
      </c>
      <c r="G8" s="415"/>
      <c r="H8" s="415"/>
      <c r="I8" s="415"/>
      <c r="J8" s="476">
        <f>F8</f>
        <v>5000</v>
      </c>
      <c r="K8" s="525"/>
      <c r="L8" s="437"/>
      <c r="M8" s="427">
        <f>J8</f>
        <v>5000</v>
      </c>
      <c r="N8" s="454"/>
      <c r="O8" s="416"/>
      <c r="P8" s="417"/>
      <c r="Q8" s="462"/>
      <c r="R8" s="477"/>
      <c r="S8" s="478"/>
      <c r="T8" s="479"/>
      <c r="U8" s="480"/>
      <c r="V8" s="480"/>
    </row>
    <row r="9" spans="1:22" ht="15.75" thickBot="1" x14ac:dyDescent="0.3">
      <c r="A9" s="356" t="s">
        <v>488</v>
      </c>
      <c r="B9" s="514" t="s">
        <v>489</v>
      </c>
      <c r="C9" s="438">
        <f>C10+C11+C12+C13+C14+C15+C16+C17</f>
        <v>151489</v>
      </c>
      <c r="D9" s="357"/>
      <c r="E9" s="357">
        <f>E10+E11+E12+E13+E14+E15+E16+E17</f>
        <v>151489</v>
      </c>
      <c r="F9" s="357">
        <f>F10+F11+F12+F13+F14+F15+F16+F17</f>
        <v>2319977</v>
      </c>
      <c r="G9" s="357">
        <f t="shared" ref="G9:P9" si="0">G10+G11+G12+G13+G14+G15+G16+G17</f>
        <v>212600</v>
      </c>
      <c r="H9" s="357">
        <f t="shared" si="0"/>
        <v>147534</v>
      </c>
      <c r="I9" s="357">
        <f t="shared" si="0"/>
        <v>51600</v>
      </c>
      <c r="J9" s="357">
        <f>J10+J11+J12+J13+J14+J15+J16+J17</f>
        <v>2883200</v>
      </c>
      <c r="K9" s="439">
        <f t="shared" si="0"/>
        <v>2319977</v>
      </c>
      <c r="L9" s="439">
        <f t="shared" si="0"/>
        <v>11000</v>
      </c>
      <c r="M9" s="428">
        <f t="shared" si="0"/>
        <v>2894200</v>
      </c>
      <c r="N9" s="409">
        <f t="shared" si="0"/>
        <v>2249240</v>
      </c>
      <c r="O9" s="358">
        <f t="shared" si="0"/>
        <v>2238240</v>
      </c>
      <c r="P9" s="359">
        <f t="shared" si="0"/>
        <v>11000</v>
      </c>
      <c r="Q9" s="459"/>
      <c r="R9" s="358">
        <f>SUM(R10:R17)</f>
        <v>159600</v>
      </c>
      <c r="S9" s="359">
        <f>SUM(S10:S17)</f>
        <v>0</v>
      </c>
      <c r="T9" s="459">
        <f>SUM(T10:T17)</f>
        <v>140020</v>
      </c>
      <c r="U9" s="409"/>
      <c r="V9" s="409">
        <f>SUM(V10:V17)</f>
        <v>7514</v>
      </c>
    </row>
    <row r="10" spans="1:22" x14ac:dyDescent="0.25">
      <c r="A10" s="361" t="s">
        <v>490</v>
      </c>
      <c r="B10" s="515" t="s">
        <v>491</v>
      </c>
      <c r="C10" s="658">
        <f>E10</f>
        <v>13526</v>
      </c>
      <c r="D10" s="362"/>
      <c r="E10" s="362">
        <f>12230+1296</f>
        <v>13526</v>
      </c>
      <c r="F10" s="362">
        <f>239880+5300</f>
        <v>245180</v>
      </c>
      <c r="G10" s="362">
        <v>15200</v>
      </c>
      <c r="H10" s="362">
        <f>17100+810</f>
        <v>17910</v>
      </c>
      <c r="I10" s="362">
        <f>3600+1900</f>
        <v>5500</v>
      </c>
      <c r="J10" s="362">
        <f>C10+F10+G10+H10+I10</f>
        <v>297316</v>
      </c>
      <c r="K10" s="659">
        <f>F10</f>
        <v>245180</v>
      </c>
      <c r="L10" s="659"/>
      <c r="M10" s="363">
        <f t="shared" ref="M10:M17" si="1">J10+L10</f>
        <v>297316</v>
      </c>
      <c r="N10" s="408">
        <f>O10+P10</f>
        <v>245180</v>
      </c>
      <c r="O10" s="364">
        <f t="shared" ref="O10:O16" si="2">K10</f>
        <v>245180</v>
      </c>
      <c r="P10" s="365"/>
      <c r="Q10" s="660"/>
      <c r="R10" s="364">
        <v>15200</v>
      </c>
      <c r="S10" s="365"/>
      <c r="T10" s="660">
        <f>19000-1900</f>
        <v>17100</v>
      </c>
      <c r="U10" s="408"/>
      <c r="V10" s="408">
        <v>810</v>
      </c>
    </row>
    <row r="11" spans="1:22" x14ac:dyDescent="0.25">
      <c r="A11" s="661" t="s">
        <v>492</v>
      </c>
      <c r="B11" s="662" t="s">
        <v>493</v>
      </c>
      <c r="C11" s="663">
        <f t="shared" ref="C11:C17" si="3">E11</f>
        <v>28589</v>
      </c>
      <c r="D11" s="366"/>
      <c r="E11" s="366">
        <f>25180+1092+2317</f>
        <v>28589</v>
      </c>
      <c r="F11" s="366">
        <v>409800</v>
      </c>
      <c r="G11" s="366">
        <v>42000</v>
      </c>
      <c r="H11" s="366">
        <f>28240+1181</f>
        <v>29421</v>
      </c>
      <c r="I11" s="362">
        <f>3940+4260</f>
        <v>8200</v>
      </c>
      <c r="J11" s="362">
        <f t="shared" ref="J11:J16" si="4">C11+F11+G11+H11+I11</f>
        <v>518010</v>
      </c>
      <c r="K11" s="441">
        <f t="shared" ref="K11:K17" si="5">F11</f>
        <v>409800</v>
      </c>
      <c r="L11" s="441">
        <v>11000</v>
      </c>
      <c r="M11" s="363">
        <f t="shared" si="1"/>
        <v>529010</v>
      </c>
      <c r="N11" s="664">
        <f t="shared" ref="N11:N17" si="6">O11+P11</f>
        <v>420800</v>
      </c>
      <c r="O11" s="665">
        <f t="shared" si="2"/>
        <v>409800</v>
      </c>
      <c r="P11" s="367">
        <f>L11</f>
        <v>11000</v>
      </c>
      <c r="Q11" s="666"/>
      <c r="R11" s="665">
        <v>42000</v>
      </c>
      <c r="S11" s="367"/>
      <c r="T11" s="666">
        <f>32500-4260</f>
        <v>28240</v>
      </c>
      <c r="U11" s="664"/>
      <c r="V11" s="664">
        <v>1181</v>
      </c>
    </row>
    <row r="12" spans="1:22" x14ac:dyDescent="0.25">
      <c r="A12" s="661" t="s">
        <v>494</v>
      </c>
      <c r="B12" s="662" t="s">
        <v>495</v>
      </c>
      <c r="C12" s="663">
        <f t="shared" si="3"/>
        <v>38033</v>
      </c>
      <c r="D12" s="366"/>
      <c r="E12" s="366">
        <f>34730+364+130+2809</f>
        <v>38033</v>
      </c>
      <c r="F12" s="366">
        <v>606330</v>
      </c>
      <c r="G12" s="366">
        <v>42300</v>
      </c>
      <c r="H12" s="366">
        <f>38560+2217</f>
        <v>40777</v>
      </c>
      <c r="I12" s="362">
        <f>10160+6440</f>
        <v>16600</v>
      </c>
      <c r="J12" s="362">
        <f t="shared" si="4"/>
        <v>744040</v>
      </c>
      <c r="K12" s="441">
        <f t="shared" si="5"/>
        <v>606330</v>
      </c>
      <c r="L12" s="441"/>
      <c r="M12" s="363">
        <f t="shared" si="1"/>
        <v>744040</v>
      </c>
      <c r="N12" s="664">
        <f t="shared" si="6"/>
        <v>606330</v>
      </c>
      <c r="O12" s="665">
        <f t="shared" si="2"/>
        <v>606330</v>
      </c>
      <c r="P12" s="367">
        <f>L12</f>
        <v>0</v>
      </c>
      <c r="Q12" s="666"/>
      <c r="R12" s="665">
        <v>42300</v>
      </c>
      <c r="S12" s="367"/>
      <c r="T12" s="666">
        <f>45000-6440</f>
        <v>38560</v>
      </c>
      <c r="U12" s="664"/>
      <c r="V12" s="664">
        <v>2217</v>
      </c>
    </row>
    <row r="13" spans="1:22" x14ac:dyDescent="0.25">
      <c r="A13" s="661" t="s">
        <v>496</v>
      </c>
      <c r="B13" s="662" t="s">
        <v>497</v>
      </c>
      <c r="C13" s="663">
        <v>0</v>
      </c>
      <c r="D13" s="366"/>
      <c r="E13" s="366">
        <v>0</v>
      </c>
      <c r="F13" s="366">
        <v>0</v>
      </c>
      <c r="G13" s="366">
        <v>0</v>
      </c>
      <c r="H13" s="366"/>
      <c r="I13" s="362"/>
      <c r="J13" s="362">
        <f t="shared" si="4"/>
        <v>0</v>
      </c>
      <c r="K13" s="441">
        <f t="shared" si="5"/>
        <v>0</v>
      </c>
      <c r="L13" s="441"/>
      <c r="M13" s="363">
        <f t="shared" si="1"/>
        <v>0</v>
      </c>
      <c r="N13" s="667">
        <f t="shared" si="6"/>
        <v>0</v>
      </c>
      <c r="O13" s="665">
        <f t="shared" si="2"/>
        <v>0</v>
      </c>
      <c r="P13" s="367"/>
      <c r="Q13" s="666"/>
      <c r="R13" s="665"/>
      <c r="S13" s="367"/>
      <c r="T13" s="666"/>
      <c r="U13" s="664"/>
      <c r="V13" s="664"/>
    </row>
    <row r="14" spans="1:22" x14ac:dyDescent="0.25">
      <c r="A14" s="661" t="s">
        <v>498</v>
      </c>
      <c r="B14" s="662" t="s">
        <v>499</v>
      </c>
      <c r="C14" s="663">
        <f t="shared" si="3"/>
        <v>22720</v>
      </c>
      <c r="D14" s="366"/>
      <c r="E14" s="366">
        <f>12720+2184+7816</f>
        <v>22720</v>
      </c>
      <c r="F14" s="366">
        <v>308240</v>
      </c>
      <c r="G14" s="366">
        <v>17400</v>
      </c>
      <c r="H14" s="366">
        <f>20820+2085</f>
        <v>22905</v>
      </c>
      <c r="I14" s="362">
        <f>4920+180</f>
        <v>5100</v>
      </c>
      <c r="J14" s="362">
        <f t="shared" si="4"/>
        <v>376365</v>
      </c>
      <c r="K14" s="441">
        <f t="shared" si="5"/>
        <v>308240</v>
      </c>
      <c r="L14" s="441"/>
      <c r="M14" s="363">
        <f t="shared" si="1"/>
        <v>376365</v>
      </c>
      <c r="N14" s="664">
        <f t="shared" si="6"/>
        <v>308240</v>
      </c>
      <c r="O14" s="665">
        <f t="shared" si="2"/>
        <v>308240</v>
      </c>
      <c r="P14" s="367">
        <f>L14</f>
        <v>0</v>
      </c>
      <c r="Q14" s="666"/>
      <c r="R14" s="665">
        <v>17400</v>
      </c>
      <c r="S14" s="367"/>
      <c r="T14" s="666">
        <f>21000-180</f>
        <v>20820</v>
      </c>
      <c r="U14" s="664"/>
      <c r="V14" s="664">
        <v>2085</v>
      </c>
    </row>
    <row r="15" spans="1:22" x14ac:dyDescent="0.25">
      <c r="A15" s="661" t="s">
        <v>500</v>
      </c>
      <c r="B15" s="662" t="s">
        <v>501</v>
      </c>
      <c r="C15" s="663">
        <f t="shared" si="3"/>
        <v>27094</v>
      </c>
      <c r="D15" s="366"/>
      <c r="E15" s="366">
        <f>26550+364+180</f>
        <v>27094</v>
      </c>
      <c r="F15" s="366">
        <v>339530</v>
      </c>
      <c r="G15" s="366">
        <v>72800</v>
      </c>
      <c r="H15" s="366">
        <f>19460+402</f>
        <v>19862</v>
      </c>
      <c r="I15" s="362">
        <f>4260+3540</f>
        <v>7800</v>
      </c>
      <c r="J15" s="362">
        <f t="shared" si="4"/>
        <v>467086</v>
      </c>
      <c r="K15" s="441">
        <f t="shared" si="5"/>
        <v>339530</v>
      </c>
      <c r="L15" s="441"/>
      <c r="M15" s="363">
        <f t="shared" si="1"/>
        <v>467086</v>
      </c>
      <c r="N15" s="664">
        <f t="shared" si="6"/>
        <v>339530</v>
      </c>
      <c r="O15" s="665">
        <f t="shared" si="2"/>
        <v>339530</v>
      </c>
      <c r="P15" s="367"/>
      <c r="Q15" s="666"/>
      <c r="R15" s="665">
        <v>19800</v>
      </c>
      <c r="S15" s="367">
        <f>28750-28750</f>
        <v>0</v>
      </c>
      <c r="T15" s="666">
        <f>23000-3540</f>
        <v>19460</v>
      </c>
      <c r="U15" s="664"/>
      <c r="V15" s="664">
        <v>402</v>
      </c>
    </row>
    <row r="16" spans="1:22" x14ac:dyDescent="0.25">
      <c r="A16" s="368" t="s">
        <v>502</v>
      </c>
      <c r="B16" s="516" t="s">
        <v>503</v>
      </c>
      <c r="C16" s="526">
        <f t="shared" si="3"/>
        <v>21527</v>
      </c>
      <c r="D16" s="369"/>
      <c r="E16" s="369">
        <f>18590+2937</f>
        <v>21527</v>
      </c>
      <c r="F16" s="369">
        <v>329160</v>
      </c>
      <c r="G16" s="369">
        <v>22900</v>
      </c>
      <c r="H16" s="369">
        <f>15840+819</f>
        <v>16659</v>
      </c>
      <c r="I16" s="366">
        <f>3940+4460</f>
        <v>8400</v>
      </c>
      <c r="J16" s="362">
        <f t="shared" si="4"/>
        <v>398646</v>
      </c>
      <c r="K16" s="446">
        <f>F16</f>
        <v>329160</v>
      </c>
      <c r="L16" s="441"/>
      <c r="M16" s="363">
        <f t="shared" si="1"/>
        <v>398646</v>
      </c>
      <c r="N16" s="664">
        <f t="shared" si="6"/>
        <v>329160</v>
      </c>
      <c r="O16" s="665">
        <f t="shared" si="2"/>
        <v>329160</v>
      </c>
      <c r="P16" s="367"/>
      <c r="Q16" s="666"/>
      <c r="R16" s="665">
        <v>22900</v>
      </c>
      <c r="S16" s="367"/>
      <c r="T16" s="666">
        <f>20300-4460</f>
        <v>15840</v>
      </c>
      <c r="U16" s="664"/>
      <c r="V16" s="664">
        <v>819</v>
      </c>
    </row>
    <row r="17" spans="1:26" ht="15.75" thickBot="1" x14ac:dyDescent="0.3">
      <c r="A17" s="368" t="s">
        <v>504</v>
      </c>
      <c r="B17" s="516" t="s">
        <v>505</v>
      </c>
      <c r="C17" s="526">
        <f t="shared" si="3"/>
        <v>0</v>
      </c>
      <c r="D17" s="369"/>
      <c r="E17" s="369">
        <v>0</v>
      </c>
      <c r="F17" s="369">
        <f>81500+237</f>
        <v>81737</v>
      </c>
      <c r="G17" s="369">
        <v>0</v>
      </c>
      <c r="H17" s="369"/>
      <c r="I17" s="406"/>
      <c r="J17" s="362">
        <f t="shared" ref="J17" si="7">C17+F17+G17+H17</f>
        <v>81737</v>
      </c>
      <c r="K17" s="443">
        <f t="shared" si="5"/>
        <v>81737</v>
      </c>
      <c r="L17" s="443"/>
      <c r="M17" s="363">
        <f t="shared" si="1"/>
        <v>81737</v>
      </c>
      <c r="N17" s="410">
        <f t="shared" si="6"/>
        <v>0</v>
      </c>
      <c r="O17" s="354"/>
      <c r="P17" s="355"/>
      <c r="Q17" s="460"/>
      <c r="R17" s="481"/>
      <c r="S17" s="482"/>
      <c r="T17" s="483"/>
      <c r="U17" s="484"/>
      <c r="V17" s="484"/>
    </row>
    <row r="18" spans="1:26" ht="15.75" thickBot="1" x14ac:dyDescent="0.3">
      <c r="A18" s="370" t="s">
        <v>506</v>
      </c>
      <c r="B18" s="517" t="s">
        <v>507</v>
      </c>
      <c r="C18" s="358">
        <f t="shared" ref="C18:K18" si="8">C19+C20+C21+C22+C23+C24</f>
        <v>6218951</v>
      </c>
      <c r="D18" s="359">
        <f t="shared" si="8"/>
        <v>5727000</v>
      </c>
      <c r="E18" s="359">
        <f t="shared" si="8"/>
        <v>491951</v>
      </c>
      <c r="F18" s="359">
        <f t="shared" si="8"/>
        <v>1325900</v>
      </c>
      <c r="G18" s="359">
        <f t="shared" si="8"/>
        <v>534262</v>
      </c>
      <c r="H18" s="359">
        <f t="shared" si="8"/>
        <v>392124</v>
      </c>
      <c r="I18" s="359">
        <f t="shared" si="8"/>
        <v>471200</v>
      </c>
      <c r="J18" s="359">
        <f>J19+J20+J21+J22+J23+J24</f>
        <v>8942437</v>
      </c>
      <c r="K18" s="360">
        <f t="shared" si="8"/>
        <v>7052900</v>
      </c>
      <c r="L18" s="360">
        <f>L19+L20+L21+L22+L23+L24</f>
        <v>21453</v>
      </c>
      <c r="M18" s="429">
        <f>M19+M20+M21+M22+M23+M24</f>
        <v>8963890</v>
      </c>
      <c r="N18" s="409">
        <f>N19+N20+N21+N22+N23+N24</f>
        <v>7052900</v>
      </c>
      <c r="O18" s="358">
        <f>O19+O20+O21+O22+O23+O24</f>
        <v>7052900</v>
      </c>
      <c r="P18" s="359">
        <f>P19+P20+P21+P22+P23+P24</f>
        <v>0</v>
      </c>
      <c r="Q18" s="459"/>
      <c r="R18" s="358">
        <f>SUM(R19:R24)</f>
        <v>237800</v>
      </c>
      <c r="S18" s="359">
        <f>SUM(S19:S24)</f>
        <v>5115</v>
      </c>
      <c r="T18" s="459">
        <f>SUM(T19:T24)</f>
        <v>364700</v>
      </c>
      <c r="U18" s="409"/>
      <c r="V18" s="409">
        <f>SUM(V19:V24)</f>
        <v>27424</v>
      </c>
    </row>
    <row r="19" spans="1:26" x14ac:dyDescent="0.25">
      <c r="A19" s="361" t="s">
        <v>508</v>
      </c>
      <c r="B19" s="515" t="s">
        <v>509</v>
      </c>
      <c r="C19" s="444">
        <f>D19+E19</f>
        <v>510406</v>
      </c>
      <c r="D19" s="362">
        <v>449300</v>
      </c>
      <c r="E19" s="362">
        <f>33390+113+2980+24623</f>
        <v>61106</v>
      </c>
      <c r="F19" s="362">
        <v>271800</v>
      </c>
      <c r="G19" s="362">
        <f>66200+2400-7500</f>
        <v>61100</v>
      </c>
      <c r="H19" s="362">
        <f>36000+275</f>
        <v>36275</v>
      </c>
      <c r="I19" s="362">
        <f>3610+28490</f>
        <v>32100</v>
      </c>
      <c r="J19" s="362">
        <f>C19+F19+G19+H19+I19</f>
        <v>911681</v>
      </c>
      <c r="K19" s="445">
        <f>D19+F19</f>
        <v>721100</v>
      </c>
      <c r="L19" s="445"/>
      <c r="M19" s="363">
        <f t="shared" ref="M19:M24" si="9">J19+L19</f>
        <v>911681</v>
      </c>
      <c r="N19" s="408">
        <f t="shared" ref="N19:N24" si="10">O19+P19</f>
        <v>721100</v>
      </c>
      <c r="O19" s="364">
        <f>K19</f>
        <v>721100</v>
      </c>
      <c r="P19" s="365">
        <f>L19</f>
        <v>0</v>
      </c>
      <c r="Q19" s="660"/>
      <c r="R19" s="364">
        <v>21200</v>
      </c>
      <c r="S19" s="365">
        <f>2400</f>
        <v>2400</v>
      </c>
      <c r="T19" s="660">
        <f>40900-4900</f>
        <v>36000</v>
      </c>
      <c r="U19" s="408"/>
      <c r="V19" s="664">
        <v>275</v>
      </c>
    </row>
    <row r="20" spans="1:26" x14ac:dyDescent="0.25">
      <c r="A20" s="661" t="s">
        <v>510</v>
      </c>
      <c r="B20" s="662" t="s">
        <v>511</v>
      </c>
      <c r="C20" s="440">
        <f t="shared" ref="C20:C24" si="11">D20+E20</f>
        <v>943218</v>
      </c>
      <c r="D20" s="366">
        <v>897000</v>
      </c>
      <c r="E20" s="366">
        <f>31180+577+3052+11409</f>
        <v>46218</v>
      </c>
      <c r="F20" s="366">
        <v>155000</v>
      </c>
      <c r="G20" s="366">
        <f>28479-4800</f>
        <v>23679</v>
      </c>
      <c r="H20" s="366">
        <f>45700+1986</f>
        <v>47686</v>
      </c>
      <c r="I20" s="362">
        <f>8190+64010</f>
        <v>72200</v>
      </c>
      <c r="J20" s="362">
        <f t="shared" ref="J20:J24" si="12">C20+F20+G20+H20+I20</f>
        <v>1241783</v>
      </c>
      <c r="K20" s="441">
        <f t="shared" ref="K20:K24" si="13">D20+F20</f>
        <v>1052000</v>
      </c>
      <c r="L20" s="441">
        <f>2721+7000</f>
        <v>9721</v>
      </c>
      <c r="M20" s="363">
        <f t="shared" si="9"/>
        <v>1251504</v>
      </c>
      <c r="N20" s="664">
        <f t="shared" si="10"/>
        <v>1052000</v>
      </c>
      <c r="O20" s="665">
        <f>K20</f>
        <v>1052000</v>
      </c>
      <c r="P20" s="365"/>
      <c r="Q20" s="660"/>
      <c r="R20" s="665">
        <f>31200+2200</f>
        <v>33400</v>
      </c>
      <c r="S20" s="367"/>
      <c r="T20" s="666">
        <f>72000-26300</f>
        <v>45700</v>
      </c>
      <c r="U20" s="664"/>
      <c r="V20" s="664">
        <v>1986</v>
      </c>
    </row>
    <row r="21" spans="1:26" x14ac:dyDescent="0.25">
      <c r="A21" s="661" t="s">
        <v>512</v>
      </c>
      <c r="B21" s="662" t="s">
        <v>513</v>
      </c>
      <c r="C21" s="440">
        <f t="shared" si="11"/>
        <v>1611874</v>
      </c>
      <c r="D21" s="366">
        <v>1488000</v>
      </c>
      <c r="E21" s="366">
        <f>90900+2021+5014+25939</f>
        <v>123874</v>
      </c>
      <c r="F21" s="366">
        <v>367600</v>
      </c>
      <c r="G21" s="366">
        <f>111368+22115</f>
        <v>133483</v>
      </c>
      <c r="H21" s="366">
        <f>130000+11131</f>
        <v>141131</v>
      </c>
      <c r="I21" s="362">
        <f>4180+133620</f>
        <v>137800</v>
      </c>
      <c r="J21" s="362">
        <f t="shared" si="12"/>
        <v>2391888</v>
      </c>
      <c r="K21" s="441">
        <f t="shared" si="13"/>
        <v>1855600</v>
      </c>
      <c r="L21" s="441">
        <v>11732</v>
      </c>
      <c r="M21" s="363">
        <f t="shared" si="9"/>
        <v>2403620</v>
      </c>
      <c r="N21" s="664">
        <f t="shared" si="10"/>
        <v>1855600</v>
      </c>
      <c r="O21" s="665">
        <f>K21</f>
        <v>1855600</v>
      </c>
      <c r="P21" s="365"/>
      <c r="Q21" s="660"/>
      <c r="R21" s="665">
        <f>56100+10000</f>
        <v>66100</v>
      </c>
      <c r="S21" s="367">
        <f>2115</f>
        <v>2115</v>
      </c>
      <c r="T21" s="666">
        <f>186000-56000</f>
        <v>130000</v>
      </c>
      <c r="U21" s="664"/>
      <c r="V21" s="664">
        <v>11131</v>
      </c>
    </row>
    <row r="22" spans="1:26" x14ac:dyDescent="0.25">
      <c r="A22" s="661" t="s">
        <v>514</v>
      </c>
      <c r="B22" s="662" t="s">
        <v>515</v>
      </c>
      <c r="C22" s="440">
        <f t="shared" si="11"/>
        <v>1447040</v>
      </c>
      <c r="D22" s="366">
        <v>1328800</v>
      </c>
      <c r="E22" s="366">
        <f>108400+2447+3488+3905</f>
        <v>118240</v>
      </c>
      <c r="F22" s="366">
        <v>223500</v>
      </c>
      <c r="G22" s="366">
        <f>150500+20600</f>
        <v>171100</v>
      </c>
      <c r="H22" s="366">
        <f>75000+9970</f>
        <v>84970</v>
      </c>
      <c r="I22" s="362">
        <f>2820+111380</f>
        <v>114200</v>
      </c>
      <c r="J22" s="362">
        <f t="shared" si="12"/>
        <v>2040810</v>
      </c>
      <c r="K22" s="441">
        <f t="shared" si="13"/>
        <v>1552300</v>
      </c>
      <c r="L22" s="441"/>
      <c r="M22" s="363">
        <f t="shared" si="9"/>
        <v>2040810</v>
      </c>
      <c r="N22" s="664">
        <f t="shared" si="10"/>
        <v>1552300</v>
      </c>
      <c r="O22" s="665">
        <f>K22</f>
        <v>1552300</v>
      </c>
      <c r="P22" s="365"/>
      <c r="Q22" s="660"/>
      <c r="R22" s="665">
        <f>55500+15000</f>
        <v>70500</v>
      </c>
      <c r="S22" s="367">
        <v>600</v>
      </c>
      <c r="T22" s="666">
        <f>113200-38200</f>
        <v>75000</v>
      </c>
      <c r="U22" s="664"/>
      <c r="V22" s="664">
        <v>9970</v>
      </c>
    </row>
    <row r="23" spans="1:26" x14ac:dyDescent="0.25">
      <c r="A23" s="661" t="s">
        <v>516</v>
      </c>
      <c r="B23" s="662" t="s">
        <v>517</v>
      </c>
      <c r="C23" s="440">
        <f t="shared" si="11"/>
        <v>1061972</v>
      </c>
      <c r="D23" s="366">
        <v>960800</v>
      </c>
      <c r="E23" s="366">
        <f>46440+554+9156+45022</f>
        <v>101172</v>
      </c>
      <c r="F23" s="366">
        <v>192700</v>
      </c>
      <c r="G23" s="366">
        <f>111600+18300</f>
        <v>129900</v>
      </c>
      <c r="H23" s="366">
        <f>78000+4062</f>
        <v>82062</v>
      </c>
      <c r="I23" s="362">
        <f>1640+81260</f>
        <v>82900</v>
      </c>
      <c r="J23" s="362">
        <f t="shared" si="12"/>
        <v>1549534</v>
      </c>
      <c r="K23" s="441">
        <f t="shared" si="13"/>
        <v>1153500</v>
      </c>
      <c r="L23" s="441"/>
      <c r="M23" s="363">
        <f t="shared" si="9"/>
        <v>1549534</v>
      </c>
      <c r="N23" s="664">
        <f t="shared" si="10"/>
        <v>1153500</v>
      </c>
      <c r="O23" s="665">
        <f>K23</f>
        <v>1153500</v>
      </c>
      <c r="P23" s="367"/>
      <c r="Q23" s="666"/>
      <c r="R23" s="665">
        <v>31600</v>
      </c>
      <c r="S23" s="367"/>
      <c r="T23" s="666">
        <f>117400-39400</f>
        <v>78000</v>
      </c>
      <c r="U23" s="664"/>
      <c r="V23" s="664">
        <v>4062</v>
      </c>
      <c r="Z23" s="1"/>
    </row>
    <row r="24" spans="1:26" ht="15.75" thickBot="1" x14ac:dyDescent="0.3">
      <c r="A24" s="368" t="s">
        <v>518</v>
      </c>
      <c r="B24" s="516" t="s">
        <v>519</v>
      </c>
      <c r="C24" s="442">
        <f t="shared" si="11"/>
        <v>644441</v>
      </c>
      <c r="D24" s="369">
        <v>603100</v>
      </c>
      <c r="E24" s="369">
        <f>35680+859+4802</f>
        <v>41341</v>
      </c>
      <c r="F24" s="369">
        <v>115300</v>
      </c>
      <c r="G24" s="369">
        <v>15000</v>
      </c>
      <c r="H24" s="369"/>
      <c r="I24" s="406">
        <f>3240+28760</f>
        <v>32000</v>
      </c>
      <c r="J24" s="362">
        <f t="shared" si="12"/>
        <v>806741</v>
      </c>
      <c r="K24" s="446">
        <f t="shared" si="13"/>
        <v>718400</v>
      </c>
      <c r="L24" s="446"/>
      <c r="M24" s="363">
        <f t="shared" si="9"/>
        <v>806741</v>
      </c>
      <c r="N24" s="410">
        <f t="shared" si="10"/>
        <v>718400</v>
      </c>
      <c r="O24" s="354">
        <f>K24</f>
        <v>718400</v>
      </c>
      <c r="P24" s="355"/>
      <c r="Q24" s="460"/>
      <c r="R24" s="354">
        <v>15000</v>
      </c>
      <c r="S24" s="355"/>
      <c r="T24" s="460"/>
      <c r="U24" s="454"/>
      <c r="V24" s="408"/>
    </row>
    <row r="25" spans="1:26" ht="15.75" thickBot="1" x14ac:dyDescent="0.3">
      <c r="A25" s="371" t="s">
        <v>520</v>
      </c>
      <c r="B25" s="518" t="s">
        <v>521</v>
      </c>
      <c r="C25" s="358">
        <f>C27+C28</f>
        <v>2086</v>
      </c>
      <c r="D25" s="359"/>
      <c r="E25" s="359">
        <f>E26+E27+E28</f>
        <v>2086</v>
      </c>
      <c r="F25" s="359">
        <f>F26+F27</f>
        <v>1021700</v>
      </c>
      <c r="G25" s="359">
        <f>G26+G27</f>
        <v>115500</v>
      </c>
      <c r="H25" s="359"/>
      <c r="I25" s="359"/>
      <c r="J25" s="359">
        <f>J26+J27+J28</f>
        <v>1139286</v>
      </c>
      <c r="K25" s="360">
        <f>K26+K27</f>
        <v>1021700</v>
      </c>
      <c r="L25" s="360">
        <f>L26+L27</f>
        <v>0</v>
      </c>
      <c r="M25" s="429">
        <f>M26+M27+M28</f>
        <v>1139286</v>
      </c>
      <c r="N25" s="409">
        <f>N26+N27</f>
        <v>1021700</v>
      </c>
      <c r="O25" s="358">
        <f>O26+O27</f>
        <v>1021700</v>
      </c>
      <c r="P25" s="359">
        <f>P26+P27</f>
        <v>0</v>
      </c>
      <c r="Q25" s="459"/>
      <c r="R25" s="358">
        <f>SUM(R26:R28)</f>
        <v>108280</v>
      </c>
      <c r="S25" s="359">
        <f>SUM(S26:S28)</f>
        <v>7220</v>
      </c>
      <c r="T25" s="459">
        <f>SUM(T26:T28)</f>
        <v>0</v>
      </c>
      <c r="U25" s="422"/>
      <c r="V25" s="422">
        <f>SUM(V26:V28)</f>
        <v>0</v>
      </c>
    </row>
    <row r="26" spans="1:26" x14ac:dyDescent="0.25">
      <c r="A26" s="361" t="s">
        <v>522</v>
      </c>
      <c r="B26" s="515" t="s">
        <v>523</v>
      </c>
      <c r="C26" s="444"/>
      <c r="D26" s="362"/>
      <c r="E26" s="362">
        <v>0</v>
      </c>
      <c r="F26" s="362">
        <v>719660</v>
      </c>
      <c r="G26" s="362">
        <f>55000+5000</f>
        <v>60000</v>
      </c>
      <c r="H26" s="362"/>
      <c r="I26" s="362"/>
      <c r="J26" s="362">
        <f>F26+G26</f>
        <v>779660</v>
      </c>
      <c r="K26" s="445">
        <f>F26</f>
        <v>719660</v>
      </c>
      <c r="L26" s="445">
        <v>0</v>
      </c>
      <c r="M26" s="363">
        <f>J26+L26</f>
        <v>779660</v>
      </c>
      <c r="N26" s="408">
        <f>O26+P26</f>
        <v>719660</v>
      </c>
      <c r="O26" s="665">
        <f>K26</f>
        <v>719660</v>
      </c>
      <c r="P26" s="365"/>
      <c r="Q26" s="660"/>
      <c r="R26" s="668">
        <f>55000+2480</f>
        <v>57480</v>
      </c>
      <c r="S26" s="669">
        <f>2520</f>
        <v>2520</v>
      </c>
      <c r="T26" s="670"/>
      <c r="U26" s="671"/>
      <c r="V26" s="672"/>
    </row>
    <row r="27" spans="1:26" x14ac:dyDescent="0.25">
      <c r="A27" s="661" t="s">
        <v>524</v>
      </c>
      <c r="B27" s="662" t="s">
        <v>525</v>
      </c>
      <c r="C27" s="440">
        <f>E27</f>
        <v>2016</v>
      </c>
      <c r="D27" s="366"/>
      <c r="E27" s="366">
        <f>1480+536</f>
        <v>2016</v>
      </c>
      <c r="F27" s="366">
        <v>302040</v>
      </c>
      <c r="G27" s="366">
        <f>50500+5000</f>
        <v>55500</v>
      </c>
      <c r="H27" s="366"/>
      <c r="I27" s="366"/>
      <c r="J27" s="366">
        <f>C27+F27+G27</f>
        <v>359556</v>
      </c>
      <c r="K27" s="441">
        <f>F27</f>
        <v>302040</v>
      </c>
      <c r="L27" s="441"/>
      <c r="M27" s="430">
        <f>J27+L27</f>
        <v>359556</v>
      </c>
      <c r="N27" s="664">
        <f>O27+P27</f>
        <v>302040</v>
      </c>
      <c r="O27" s="665">
        <f>K27</f>
        <v>302040</v>
      </c>
      <c r="P27" s="367"/>
      <c r="Q27" s="666"/>
      <c r="R27" s="665">
        <f>50500+300</f>
        <v>50800</v>
      </c>
      <c r="S27" s="367">
        <f>4700</f>
        <v>4700</v>
      </c>
      <c r="T27" s="673"/>
      <c r="U27" s="674"/>
      <c r="V27" s="675"/>
    </row>
    <row r="28" spans="1:26" ht="15.75" thickBot="1" x14ac:dyDescent="0.3">
      <c r="A28" s="361"/>
      <c r="B28" s="515" t="s">
        <v>526</v>
      </c>
      <c r="C28" s="444">
        <f>E28</f>
        <v>70</v>
      </c>
      <c r="D28" s="362"/>
      <c r="E28" s="362">
        <v>70</v>
      </c>
      <c r="F28" s="362"/>
      <c r="G28" s="362"/>
      <c r="H28" s="362"/>
      <c r="I28" s="362"/>
      <c r="J28" s="362">
        <f>C28+F28+G28</f>
        <v>70</v>
      </c>
      <c r="K28" s="445"/>
      <c r="L28" s="445"/>
      <c r="M28" s="363">
        <f>J28+L28</f>
        <v>70</v>
      </c>
      <c r="N28" s="408"/>
      <c r="O28" s="364"/>
      <c r="P28" s="365"/>
      <c r="Q28" s="462"/>
      <c r="R28" s="485"/>
      <c r="S28" s="486"/>
      <c r="T28" s="487"/>
      <c r="U28" s="488"/>
      <c r="V28" s="489"/>
    </row>
    <row r="29" spans="1:26" ht="15.75" thickBot="1" x14ac:dyDescent="0.3">
      <c r="A29" s="372" t="s">
        <v>527</v>
      </c>
      <c r="B29" s="519" t="s">
        <v>528</v>
      </c>
      <c r="C29" s="447"/>
      <c r="D29" s="373"/>
      <c r="E29" s="373">
        <f>E30+E31+E32+E33+E34+E37+E38+E39+E40+E41+E42+E43+E44+E35+E36</f>
        <v>645526</v>
      </c>
      <c r="F29" s="373"/>
      <c r="G29" s="373"/>
      <c r="H29" s="373"/>
      <c r="I29" s="373"/>
      <c r="J29" s="373"/>
      <c r="K29" s="448"/>
      <c r="L29" s="448"/>
      <c r="M29" s="431"/>
      <c r="N29" s="409">
        <f>N30+N31+N32+N33+N34+N37+N38+N39+N40+N41+N42+N43+N44+N36</f>
        <v>645456</v>
      </c>
      <c r="O29" s="358">
        <f>O30+O31+O32+O33+O34+O37+O38+O39+O40+O41+O42+O43+O44+O35+O36</f>
        <v>645456</v>
      </c>
      <c r="P29" s="374"/>
      <c r="Q29" s="463"/>
      <c r="R29" s="490"/>
      <c r="S29" s="491"/>
      <c r="T29" s="492"/>
      <c r="U29" s="493"/>
      <c r="V29" s="480"/>
    </row>
    <row r="30" spans="1:26" x14ac:dyDescent="0.25">
      <c r="A30" s="375"/>
      <c r="B30" s="520" t="s">
        <v>529</v>
      </c>
      <c r="C30" s="444"/>
      <c r="D30" s="362"/>
      <c r="E30" s="376">
        <f>50510-13271+6701</f>
        <v>43940</v>
      </c>
      <c r="F30" s="362"/>
      <c r="G30" s="362"/>
      <c r="H30" s="362"/>
      <c r="I30" s="362"/>
      <c r="J30" s="362"/>
      <c r="K30" s="445"/>
      <c r="L30" s="445"/>
      <c r="M30" s="363"/>
      <c r="N30" s="455">
        <f t="shared" ref="N30:N45" si="14">SUM(O30:P30)</f>
        <v>43940</v>
      </c>
      <c r="O30" s="377">
        <f>E30</f>
        <v>43940</v>
      </c>
      <c r="P30" s="365"/>
      <c r="Q30" s="462"/>
      <c r="R30" s="477"/>
      <c r="S30" s="478"/>
      <c r="T30" s="494"/>
      <c r="U30" s="495"/>
      <c r="V30" s="495"/>
    </row>
    <row r="31" spans="1:26" x14ac:dyDescent="0.25">
      <c r="A31" s="378"/>
      <c r="B31" s="521" t="s">
        <v>530</v>
      </c>
      <c r="C31" s="440"/>
      <c r="D31" s="366"/>
      <c r="E31" s="379">
        <f>128790+6452</f>
        <v>135242</v>
      </c>
      <c r="F31" s="366"/>
      <c r="G31" s="366"/>
      <c r="H31" s="366"/>
      <c r="I31" s="366"/>
      <c r="J31" s="366"/>
      <c r="K31" s="441"/>
      <c r="L31" s="441"/>
      <c r="M31" s="430"/>
      <c r="N31" s="455">
        <f t="shared" si="14"/>
        <v>135242</v>
      </c>
      <c r="O31" s="377">
        <f t="shared" ref="O31:O44" si="15">E31</f>
        <v>135242</v>
      </c>
      <c r="P31" s="367"/>
      <c r="Q31" s="462"/>
      <c r="R31" s="477"/>
      <c r="S31" s="478"/>
      <c r="T31" s="496"/>
      <c r="U31" s="497"/>
      <c r="V31" s="497"/>
    </row>
    <row r="32" spans="1:26" x14ac:dyDescent="0.25">
      <c r="A32" s="378"/>
      <c r="B32" s="521" t="s">
        <v>531</v>
      </c>
      <c r="C32" s="440"/>
      <c r="D32" s="366"/>
      <c r="E32" s="379">
        <f>38850+2782</f>
        <v>41632</v>
      </c>
      <c r="F32" s="366"/>
      <c r="G32" s="366"/>
      <c r="H32" s="366"/>
      <c r="I32" s="366"/>
      <c r="J32" s="366"/>
      <c r="K32" s="441"/>
      <c r="L32" s="441"/>
      <c r="M32" s="430"/>
      <c r="N32" s="455">
        <f t="shared" si="14"/>
        <v>41632</v>
      </c>
      <c r="O32" s="377">
        <f t="shared" si="15"/>
        <v>41632</v>
      </c>
      <c r="P32" s="367"/>
      <c r="Q32" s="462"/>
      <c r="R32" s="477"/>
      <c r="S32" s="478"/>
      <c r="T32" s="496"/>
      <c r="U32" s="497"/>
      <c r="V32" s="497"/>
    </row>
    <row r="33" spans="1:22" x14ac:dyDescent="0.25">
      <c r="A33" s="378"/>
      <c r="B33" s="521" t="s">
        <v>532</v>
      </c>
      <c r="C33" s="440"/>
      <c r="D33" s="366"/>
      <c r="E33" s="379">
        <f>4813</f>
        <v>4813</v>
      </c>
      <c r="F33" s="366"/>
      <c r="G33" s="366"/>
      <c r="H33" s="366"/>
      <c r="I33" s="366"/>
      <c r="J33" s="366"/>
      <c r="K33" s="441"/>
      <c r="L33" s="441"/>
      <c r="M33" s="430"/>
      <c r="N33" s="455">
        <f t="shared" si="14"/>
        <v>4813</v>
      </c>
      <c r="O33" s="377">
        <f t="shared" si="15"/>
        <v>4813</v>
      </c>
      <c r="P33" s="367"/>
      <c r="Q33" s="462"/>
      <c r="R33" s="477"/>
      <c r="S33" s="478"/>
      <c r="T33" s="496"/>
      <c r="U33" s="497"/>
      <c r="V33" s="497"/>
    </row>
    <row r="34" spans="1:22" x14ac:dyDescent="0.25">
      <c r="A34" s="378"/>
      <c r="B34" s="521" t="s">
        <v>612</v>
      </c>
      <c r="C34" s="440"/>
      <c r="D34" s="366"/>
      <c r="E34" s="379">
        <v>0</v>
      </c>
      <c r="F34" s="366"/>
      <c r="G34" s="366"/>
      <c r="H34" s="366"/>
      <c r="I34" s="366"/>
      <c r="J34" s="366"/>
      <c r="K34" s="441"/>
      <c r="L34" s="441"/>
      <c r="M34" s="430"/>
      <c r="N34" s="455">
        <f t="shared" si="14"/>
        <v>0</v>
      </c>
      <c r="O34" s="377">
        <f t="shared" si="15"/>
        <v>0</v>
      </c>
      <c r="P34" s="367"/>
      <c r="Q34" s="462"/>
      <c r="R34" s="477"/>
      <c r="S34" s="478"/>
      <c r="T34" s="496"/>
      <c r="U34" s="497"/>
      <c r="V34" s="497"/>
    </row>
    <row r="35" spans="1:22" x14ac:dyDescent="0.25">
      <c r="A35" s="378"/>
      <c r="B35" s="521" t="s">
        <v>616</v>
      </c>
      <c r="C35" s="440"/>
      <c r="D35" s="366"/>
      <c r="E35" s="379">
        <v>0</v>
      </c>
      <c r="F35" s="366"/>
      <c r="G35" s="366"/>
      <c r="H35" s="366"/>
      <c r="I35" s="366"/>
      <c r="J35" s="366"/>
      <c r="K35" s="441"/>
      <c r="L35" s="441"/>
      <c r="M35" s="430"/>
      <c r="N35" s="455">
        <f t="shared" si="14"/>
        <v>0</v>
      </c>
      <c r="O35" s="377">
        <f t="shared" si="15"/>
        <v>0</v>
      </c>
      <c r="P35" s="367"/>
      <c r="Q35" s="462"/>
      <c r="R35" s="477"/>
      <c r="S35" s="478"/>
      <c r="T35" s="496"/>
      <c r="U35" s="497"/>
      <c r="V35" s="497"/>
    </row>
    <row r="36" spans="1:22" x14ac:dyDescent="0.25">
      <c r="A36" s="378"/>
      <c r="B36" s="521" t="s">
        <v>667</v>
      </c>
      <c r="C36" s="440"/>
      <c r="D36" s="366"/>
      <c r="E36" s="379">
        <v>400</v>
      </c>
      <c r="F36" s="366"/>
      <c r="G36" s="366"/>
      <c r="H36" s="366"/>
      <c r="I36" s="366"/>
      <c r="J36" s="366"/>
      <c r="K36" s="441"/>
      <c r="L36" s="441"/>
      <c r="M36" s="430"/>
      <c r="N36" s="455">
        <f t="shared" si="14"/>
        <v>400</v>
      </c>
      <c r="O36" s="377">
        <f t="shared" si="15"/>
        <v>400</v>
      </c>
      <c r="P36" s="367"/>
      <c r="Q36" s="462"/>
      <c r="R36" s="477"/>
      <c r="S36" s="478"/>
      <c r="T36" s="496"/>
      <c r="U36" s="497"/>
      <c r="V36" s="497"/>
    </row>
    <row r="37" spans="1:22" x14ac:dyDescent="0.25">
      <c r="A37" s="378"/>
      <c r="B37" s="521" t="s">
        <v>668</v>
      </c>
      <c r="C37" s="440"/>
      <c r="D37" s="366"/>
      <c r="E37" s="379">
        <f>56880-4775</f>
        <v>52105</v>
      </c>
      <c r="F37" s="366"/>
      <c r="G37" s="366"/>
      <c r="H37" s="366"/>
      <c r="I37" s="366"/>
      <c r="J37" s="366"/>
      <c r="K37" s="441"/>
      <c r="L37" s="441"/>
      <c r="M37" s="430"/>
      <c r="N37" s="455">
        <f t="shared" si="14"/>
        <v>52105</v>
      </c>
      <c r="O37" s="377">
        <f t="shared" si="15"/>
        <v>52105</v>
      </c>
      <c r="P37" s="367"/>
      <c r="Q37" s="462"/>
      <c r="R37" s="477"/>
      <c r="S37" s="478"/>
      <c r="T37" s="496"/>
      <c r="U37" s="497"/>
      <c r="V37" s="497"/>
    </row>
    <row r="38" spans="1:22" x14ac:dyDescent="0.25">
      <c r="A38" s="378"/>
      <c r="B38" s="521" t="s">
        <v>533</v>
      </c>
      <c r="C38" s="440"/>
      <c r="D38" s="366"/>
      <c r="E38" s="379">
        <f>1260+100</f>
        <v>1360</v>
      </c>
      <c r="F38" s="366"/>
      <c r="G38" s="366"/>
      <c r="H38" s="366"/>
      <c r="I38" s="366"/>
      <c r="J38" s="366"/>
      <c r="K38" s="441"/>
      <c r="L38" s="441"/>
      <c r="M38" s="430"/>
      <c r="N38" s="455">
        <f t="shared" si="14"/>
        <v>1290</v>
      </c>
      <c r="O38" s="377">
        <f>E38-E28</f>
        <v>1290</v>
      </c>
      <c r="P38" s="367"/>
      <c r="Q38" s="462"/>
      <c r="R38" s="477"/>
      <c r="S38" s="478"/>
      <c r="T38" s="496"/>
      <c r="U38" s="497"/>
      <c r="V38" s="497"/>
    </row>
    <row r="39" spans="1:22" x14ac:dyDescent="0.25">
      <c r="A39" s="378"/>
      <c r="B39" s="521" t="s">
        <v>534</v>
      </c>
      <c r="C39" s="440"/>
      <c r="D39" s="366"/>
      <c r="E39" s="379">
        <f>109800+19584</f>
        <v>129384</v>
      </c>
      <c r="F39" s="366"/>
      <c r="G39" s="366"/>
      <c r="H39" s="366"/>
      <c r="I39" s="366"/>
      <c r="J39" s="366"/>
      <c r="K39" s="441"/>
      <c r="L39" s="441"/>
      <c r="M39" s="430"/>
      <c r="N39" s="455">
        <f t="shared" si="14"/>
        <v>129384</v>
      </c>
      <c r="O39" s="377">
        <f t="shared" si="15"/>
        <v>129384</v>
      </c>
      <c r="P39" s="367"/>
      <c r="Q39" s="462"/>
      <c r="R39" s="477"/>
      <c r="S39" s="478"/>
      <c r="T39" s="496"/>
      <c r="U39" s="497"/>
      <c r="V39" s="497"/>
    </row>
    <row r="40" spans="1:22" x14ac:dyDescent="0.25">
      <c r="A40" s="378"/>
      <c r="B40" s="521" t="s">
        <v>535</v>
      </c>
      <c r="C40" s="440"/>
      <c r="D40" s="366"/>
      <c r="E40" s="379">
        <f>17800+2900</f>
        <v>20700</v>
      </c>
      <c r="F40" s="366"/>
      <c r="G40" s="366"/>
      <c r="H40" s="366"/>
      <c r="I40" s="366"/>
      <c r="J40" s="366"/>
      <c r="K40" s="441"/>
      <c r="L40" s="441"/>
      <c r="M40" s="430"/>
      <c r="N40" s="455">
        <f t="shared" si="14"/>
        <v>20700</v>
      </c>
      <c r="O40" s="377">
        <f t="shared" si="15"/>
        <v>20700</v>
      </c>
      <c r="P40" s="367"/>
      <c r="Q40" s="462"/>
      <c r="R40" s="477"/>
      <c r="S40" s="478"/>
      <c r="T40" s="496"/>
      <c r="U40" s="497"/>
      <c r="V40" s="497"/>
    </row>
    <row r="41" spans="1:22" x14ac:dyDescent="0.25">
      <c r="A41" s="378"/>
      <c r="B41" s="521" t="s">
        <v>536</v>
      </c>
      <c r="C41" s="440"/>
      <c r="D41" s="366"/>
      <c r="E41" s="379">
        <f>11400+11100</f>
        <v>22500</v>
      </c>
      <c r="F41" s="366"/>
      <c r="G41" s="366"/>
      <c r="H41" s="366"/>
      <c r="I41" s="366"/>
      <c r="J41" s="366"/>
      <c r="K41" s="441"/>
      <c r="L41" s="441"/>
      <c r="M41" s="430"/>
      <c r="N41" s="455">
        <f t="shared" si="14"/>
        <v>22500</v>
      </c>
      <c r="O41" s="377">
        <f t="shared" si="15"/>
        <v>22500</v>
      </c>
      <c r="P41" s="367"/>
      <c r="Q41" s="462"/>
      <c r="R41" s="477"/>
      <c r="S41" s="478"/>
      <c r="T41" s="496"/>
      <c r="U41" s="497"/>
      <c r="V41" s="497"/>
    </row>
    <row r="42" spans="1:22" x14ac:dyDescent="0.25">
      <c r="A42" s="380"/>
      <c r="B42" s="521" t="s">
        <v>588</v>
      </c>
      <c r="C42" s="442"/>
      <c r="D42" s="369"/>
      <c r="E42" s="381">
        <v>38300</v>
      </c>
      <c r="F42" s="369"/>
      <c r="G42" s="369"/>
      <c r="H42" s="369"/>
      <c r="I42" s="369"/>
      <c r="J42" s="369"/>
      <c r="K42" s="446"/>
      <c r="L42" s="446"/>
      <c r="M42" s="432"/>
      <c r="N42" s="455">
        <f t="shared" si="14"/>
        <v>38300</v>
      </c>
      <c r="O42" s="377">
        <f t="shared" si="15"/>
        <v>38300</v>
      </c>
      <c r="P42" s="367"/>
      <c r="Q42" s="462"/>
      <c r="R42" s="477"/>
      <c r="S42" s="478"/>
      <c r="T42" s="496"/>
      <c r="U42" s="497"/>
      <c r="V42" s="497"/>
    </row>
    <row r="43" spans="1:22" x14ac:dyDescent="0.25">
      <c r="A43" s="380"/>
      <c r="B43" s="521" t="s">
        <v>669</v>
      </c>
      <c r="C43" s="442"/>
      <c r="D43" s="369"/>
      <c r="E43" s="381">
        <f>22800+103606+27694</f>
        <v>154100</v>
      </c>
      <c r="F43" s="369"/>
      <c r="G43" s="369"/>
      <c r="H43" s="369"/>
      <c r="I43" s="369"/>
      <c r="J43" s="369"/>
      <c r="K43" s="446"/>
      <c r="L43" s="446"/>
      <c r="M43" s="432"/>
      <c r="N43" s="455">
        <f t="shared" si="14"/>
        <v>154100</v>
      </c>
      <c r="O43" s="377">
        <f t="shared" si="15"/>
        <v>154100</v>
      </c>
      <c r="P43" s="367"/>
      <c r="Q43" s="462"/>
      <c r="R43" s="477"/>
      <c r="S43" s="478"/>
      <c r="T43" s="496"/>
      <c r="U43" s="497"/>
      <c r="V43" s="497"/>
    </row>
    <row r="44" spans="1:22" ht="15.75" thickBot="1" x14ac:dyDescent="0.3">
      <c r="A44" s="380"/>
      <c r="B44" s="521" t="s">
        <v>537</v>
      </c>
      <c r="C44" s="442"/>
      <c r="D44" s="369"/>
      <c r="E44" s="381">
        <f>750+300</f>
        <v>1050</v>
      </c>
      <c r="F44" s="369"/>
      <c r="G44" s="369"/>
      <c r="H44" s="369"/>
      <c r="I44" s="369"/>
      <c r="J44" s="369"/>
      <c r="K44" s="446"/>
      <c r="L44" s="446"/>
      <c r="M44" s="432"/>
      <c r="N44" s="455">
        <f t="shared" si="14"/>
        <v>1050</v>
      </c>
      <c r="O44" s="377">
        <f t="shared" si="15"/>
        <v>1050</v>
      </c>
      <c r="P44" s="355"/>
      <c r="Q44" s="462"/>
      <c r="R44" s="477"/>
      <c r="S44" s="478"/>
      <c r="T44" s="496"/>
      <c r="U44" s="497"/>
      <c r="V44" s="497"/>
    </row>
    <row r="45" spans="1:22" ht="15.75" thickBot="1" x14ac:dyDescent="0.3">
      <c r="A45" s="423" t="s">
        <v>538</v>
      </c>
      <c r="B45" s="519" t="s">
        <v>559</v>
      </c>
      <c r="C45" s="447"/>
      <c r="D45" s="373"/>
      <c r="E45" s="373"/>
      <c r="F45" s="373"/>
      <c r="G45" s="373">
        <f>G9+G18+G25</f>
        <v>862362</v>
      </c>
      <c r="H45" s="373"/>
      <c r="I45" s="373"/>
      <c r="J45" s="373"/>
      <c r="K45" s="448"/>
      <c r="L45" s="448">
        <f>L20+L21</f>
        <v>21453</v>
      </c>
      <c r="M45" s="431"/>
      <c r="N45" s="409">
        <f t="shared" si="14"/>
        <v>883815</v>
      </c>
      <c r="O45" s="358">
        <f>G45</f>
        <v>862362</v>
      </c>
      <c r="P45" s="359">
        <f>L45</f>
        <v>21453</v>
      </c>
      <c r="Q45" s="464"/>
      <c r="R45" s="477"/>
      <c r="S45" s="478"/>
      <c r="T45" s="496"/>
      <c r="U45" s="497"/>
      <c r="V45" s="497"/>
    </row>
    <row r="46" spans="1:22" ht="15.75" thickBot="1" x14ac:dyDescent="0.3">
      <c r="A46" s="372" t="s">
        <v>539</v>
      </c>
      <c r="B46" s="522" t="s">
        <v>295</v>
      </c>
      <c r="C46" s="447">
        <f>D46+E46</f>
        <v>219711</v>
      </c>
      <c r="D46" s="373">
        <v>130842</v>
      </c>
      <c r="E46" s="373">
        <v>88869</v>
      </c>
      <c r="F46" s="373">
        <f>34960-5300-237</f>
        <v>29423</v>
      </c>
      <c r="G46" s="373">
        <f>24320+16865</f>
        <v>41185</v>
      </c>
      <c r="H46" s="373">
        <v>15280</v>
      </c>
      <c r="I46" s="373">
        <v>22042</v>
      </c>
      <c r="J46" s="373">
        <f>D46+E46+G46+H46+F46+I46</f>
        <v>327641</v>
      </c>
      <c r="K46" s="448"/>
      <c r="L46" s="448">
        <f>20000-11000</f>
        <v>9000</v>
      </c>
      <c r="M46" s="431">
        <f>D46+E46+G46+H46+F46+L46+I46</f>
        <v>336641</v>
      </c>
      <c r="N46" s="409">
        <v>0</v>
      </c>
      <c r="O46" s="358">
        <v>0</v>
      </c>
      <c r="P46" s="374"/>
      <c r="Q46" s="462"/>
      <c r="R46" s="477"/>
      <c r="S46" s="478"/>
      <c r="T46" s="496"/>
      <c r="U46" s="497"/>
      <c r="V46" s="497"/>
    </row>
    <row r="47" spans="1:22" ht="15.75" thickBot="1" x14ac:dyDescent="0.3">
      <c r="A47" s="372" t="s">
        <v>540</v>
      </c>
      <c r="B47" s="522" t="s">
        <v>541</v>
      </c>
      <c r="C47" s="447"/>
      <c r="D47" s="373"/>
      <c r="E47" s="373"/>
      <c r="F47" s="373"/>
      <c r="G47" s="373"/>
      <c r="H47" s="373">
        <f>H9+H18</f>
        <v>539658</v>
      </c>
      <c r="I47" s="373">
        <f>I9+I18</f>
        <v>522800</v>
      </c>
      <c r="J47" s="373"/>
      <c r="K47" s="448"/>
      <c r="L47" s="448"/>
      <c r="M47" s="431">
        <f>D47+E47+G47+H47+F47+L47+I47</f>
        <v>1062458</v>
      </c>
      <c r="N47" s="409">
        <f>O47</f>
        <v>1062458</v>
      </c>
      <c r="O47" s="358">
        <f>H47+I47</f>
        <v>1062458</v>
      </c>
      <c r="P47" s="374"/>
      <c r="Q47" s="465"/>
      <c r="R47" s="477"/>
      <c r="S47" s="478"/>
      <c r="T47" s="496"/>
      <c r="U47" s="497"/>
      <c r="V47" s="497"/>
    </row>
    <row r="48" spans="1:22" ht="15.75" thickBot="1" x14ac:dyDescent="0.3">
      <c r="A48" s="776" t="s">
        <v>670</v>
      </c>
      <c r="B48" s="777"/>
      <c r="C48" s="449">
        <f>C9+C18+C25+C46</f>
        <v>6592237</v>
      </c>
      <c r="D48" s="424">
        <f>D18+D46</f>
        <v>5857842</v>
      </c>
      <c r="E48" s="424">
        <f>E30+E31+E32+E33+E34+E37+E38+E39+E40+E41+E42+E43+E44+E46+E35+E36</f>
        <v>734395</v>
      </c>
      <c r="F48" s="424">
        <f>F9+F18+F25+F8+F46</f>
        <v>4702000</v>
      </c>
      <c r="G48" s="424">
        <f>G9+G18+G25+G46</f>
        <v>903547</v>
      </c>
      <c r="H48" s="424">
        <f>H9+H18+H46</f>
        <v>554938</v>
      </c>
      <c r="I48" s="424">
        <f>I9+I18+I46</f>
        <v>544842</v>
      </c>
      <c r="J48" s="424">
        <f>J9+J18+J25+J46+J8</f>
        <v>13297564</v>
      </c>
      <c r="K48" s="450">
        <f t="shared" ref="K48" si="16">K9+K18+K25</f>
        <v>10394577</v>
      </c>
      <c r="L48" s="450">
        <f>L9+L18+L25+L46</f>
        <v>41453</v>
      </c>
      <c r="M48" s="433">
        <f>M9+M18+M25+M8+M46</f>
        <v>13339017</v>
      </c>
      <c r="N48" s="422">
        <f>N47+N45+N29+N25+N18+N9</f>
        <v>12915569</v>
      </c>
      <c r="O48" s="452">
        <f>O47+O45+O29+O25+O18+O9</f>
        <v>12883116</v>
      </c>
      <c r="P48" s="453">
        <f>P9+P18+P25+P45</f>
        <v>32453</v>
      </c>
      <c r="Q48" s="466"/>
      <c r="R48" s="447">
        <f>R9+R18+R25</f>
        <v>505680</v>
      </c>
      <c r="S48" s="373">
        <f>S9+S18+S25</f>
        <v>12335</v>
      </c>
      <c r="T48" s="467">
        <f>T25+T18+T9</f>
        <v>504720</v>
      </c>
      <c r="U48" s="434"/>
      <c r="V48" s="467">
        <f>V25+V18+V9</f>
        <v>34938</v>
      </c>
    </row>
    <row r="49" spans="1:23" ht="15.75" thickBot="1" x14ac:dyDescent="0.3">
      <c r="A49" s="770" t="s">
        <v>357</v>
      </c>
      <c r="B49" s="771"/>
      <c r="C49" s="676"/>
      <c r="D49" s="677">
        <v>628800</v>
      </c>
      <c r="E49" s="677"/>
      <c r="F49" s="677">
        <v>100000</v>
      </c>
      <c r="G49" s="677">
        <v>420000</v>
      </c>
      <c r="H49" s="677">
        <v>268245</v>
      </c>
      <c r="I49" s="677"/>
      <c r="J49" s="677"/>
      <c r="K49" s="678"/>
      <c r="L49" s="678">
        <v>10000</v>
      </c>
      <c r="M49" s="679">
        <f>SUM(C49:L49)</f>
        <v>1427045</v>
      </c>
      <c r="N49" s="680">
        <f>SUM(O49:P49)</f>
        <v>1427045</v>
      </c>
      <c r="O49" s="681">
        <f>D49+F49+G49+H49</f>
        <v>1417045</v>
      </c>
      <c r="P49" s="682">
        <f>L49</f>
        <v>10000</v>
      </c>
      <c r="Q49" s="683"/>
      <c r="R49" s="681">
        <v>430000</v>
      </c>
      <c r="S49" s="684"/>
      <c r="T49" s="685">
        <v>260000</v>
      </c>
      <c r="U49" s="680"/>
      <c r="V49" s="686">
        <v>8245</v>
      </c>
    </row>
    <row r="50" spans="1:23" ht="15.75" thickBot="1" x14ac:dyDescent="0.3">
      <c r="A50" s="770" t="s">
        <v>555</v>
      </c>
      <c r="B50" s="771"/>
      <c r="C50" s="681"/>
      <c r="D50" s="682"/>
      <c r="E50" s="682"/>
      <c r="F50" s="682">
        <v>187000</v>
      </c>
      <c r="G50" s="682">
        <v>12000</v>
      </c>
      <c r="H50" s="682"/>
      <c r="I50" s="682"/>
      <c r="J50" s="682"/>
      <c r="K50" s="685"/>
      <c r="L50" s="678"/>
      <c r="M50" s="679">
        <f>SUM(C50:L50)</f>
        <v>199000</v>
      </c>
      <c r="N50" s="680">
        <f>SUM(O50:P50)</f>
        <v>199000</v>
      </c>
      <c r="O50" s="681">
        <f>F50+G50</f>
        <v>199000</v>
      </c>
      <c r="P50" s="682"/>
      <c r="Q50" s="683"/>
      <c r="R50" s="681">
        <v>8000</v>
      </c>
      <c r="S50" s="684">
        <v>4000</v>
      </c>
      <c r="T50" s="685"/>
      <c r="U50" s="680"/>
      <c r="V50" s="686"/>
    </row>
    <row r="51" spans="1:23" s="329" customFormat="1" ht="32.25" customHeight="1" thickBot="1" x14ac:dyDescent="0.3">
      <c r="A51" s="772" t="s">
        <v>556</v>
      </c>
      <c r="B51" s="773"/>
      <c r="C51" s="498"/>
      <c r="D51" s="499">
        <f>D48+D49+D50</f>
        <v>6486642</v>
      </c>
      <c r="E51" s="499">
        <f t="shared" ref="E51:L51" si="17">E48+E49+E50</f>
        <v>734395</v>
      </c>
      <c r="F51" s="499">
        <f t="shared" si="17"/>
        <v>4989000</v>
      </c>
      <c r="G51" s="499">
        <f t="shared" si="17"/>
        <v>1335547</v>
      </c>
      <c r="H51" s="499">
        <f t="shared" si="17"/>
        <v>823183</v>
      </c>
      <c r="I51" s="499">
        <f t="shared" si="17"/>
        <v>544842</v>
      </c>
      <c r="J51" s="499">
        <f t="shared" si="17"/>
        <v>13297564</v>
      </c>
      <c r="K51" s="499">
        <f t="shared" si="17"/>
        <v>10394577</v>
      </c>
      <c r="L51" s="502">
        <f t="shared" si="17"/>
        <v>51453</v>
      </c>
      <c r="M51" s="504">
        <f>M48+M49+M50</f>
        <v>14965062</v>
      </c>
      <c r="N51" s="503">
        <f>N48+N49+N50</f>
        <v>14541614</v>
      </c>
      <c r="O51" s="501">
        <f>O48+O49+O50</f>
        <v>14499161</v>
      </c>
      <c r="P51" s="499">
        <f>P48+P49+P50</f>
        <v>42453</v>
      </c>
      <c r="Q51" s="500"/>
      <c r="R51" s="850">
        <f>R50+R49+R48+T48+T49+S48+S50</f>
        <v>1724735</v>
      </c>
      <c r="S51" s="851"/>
      <c r="T51" s="852"/>
      <c r="U51" s="503">
        <f>U48+U49+U50</f>
        <v>0</v>
      </c>
      <c r="V51" s="504">
        <f>V48+V49</f>
        <v>43183</v>
      </c>
      <c r="W51" s="505"/>
    </row>
    <row r="52" spans="1:23" s="329" customFormat="1" ht="16.5" thickBot="1" x14ac:dyDescent="0.3">
      <c r="A52" s="855" t="s">
        <v>560</v>
      </c>
      <c r="B52" s="856"/>
      <c r="C52" s="499"/>
      <c r="D52" s="499"/>
      <c r="E52" s="499"/>
      <c r="F52" s="499"/>
      <c r="G52" s="499"/>
      <c r="H52" s="499"/>
      <c r="I52" s="499"/>
      <c r="J52" s="499"/>
      <c r="K52" s="499"/>
      <c r="L52" s="502"/>
      <c r="M52" s="504">
        <f>SUM(C52:L52)</f>
        <v>0</v>
      </c>
      <c r="N52" s="503">
        <f>SUM(O52:Q52)</f>
        <v>21153993</v>
      </c>
      <c r="O52" s="501">
        <v>11173888</v>
      </c>
      <c r="P52" s="499">
        <v>8816205</v>
      </c>
      <c r="Q52" s="500">
        <v>1163900</v>
      </c>
      <c r="R52" s="850">
        <v>24622543</v>
      </c>
      <c r="S52" s="851"/>
      <c r="T52" s="852"/>
      <c r="U52" s="503">
        <v>6871097</v>
      </c>
      <c r="V52" s="504">
        <v>2434049</v>
      </c>
      <c r="W52" s="505"/>
    </row>
    <row r="53" spans="1:23" s="425" customFormat="1" ht="33.75" customHeight="1" thickBot="1" x14ac:dyDescent="0.35">
      <c r="A53" s="844" t="s">
        <v>561</v>
      </c>
      <c r="B53" s="845"/>
      <c r="C53" s="845"/>
      <c r="D53" s="845"/>
      <c r="E53" s="845"/>
      <c r="F53" s="845"/>
      <c r="G53" s="845"/>
      <c r="H53" s="845"/>
      <c r="I53" s="845"/>
      <c r="J53" s="845"/>
      <c r="K53" s="845"/>
      <c r="L53" s="845"/>
      <c r="M53" s="845"/>
      <c r="N53" s="846"/>
      <c r="O53" s="506">
        <f>O51+O52</f>
        <v>25673049</v>
      </c>
      <c r="P53" s="507">
        <f t="shared" ref="P53:Q53" si="18">P51+P52</f>
        <v>8858658</v>
      </c>
      <c r="Q53" s="508">
        <f t="shared" si="18"/>
        <v>1163900</v>
      </c>
      <c r="R53" s="853">
        <f>R51+R52</f>
        <v>26347278</v>
      </c>
      <c r="S53" s="842"/>
      <c r="T53" s="854"/>
      <c r="U53" s="509">
        <f>U51+U52</f>
        <v>6871097</v>
      </c>
      <c r="V53" s="510">
        <f>V51+V52</f>
        <v>2477232</v>
      </c>
      <c r="W53" s="511"/>
    </row>
    <row r="54" spans="1:23" ht="19.5" thickBot="1" x14ac:dyDescent="0.35">
      <c r="A54" s="847"/>
      <c r="B54" s="848"/>
      <c r="C54" s="848"/>
      <c r="D54" s="848"/>
      <c r="E54" s="848"/>
      <c r="F54" s="848"/>
      <c r="G54" s="848"/>
      <c r="H54" s="848"/>
      <c r="I54" s="848"/>
      <c r="J54" s="848"/>
      <c r="K54" s="848"/>
      <c r="L54" s="848"/>
      <c r="M54" s="848"/>
      <c r="N54" s="849"/>
      <c r="O54" s="839">
        <f>SUM(O53:Q53)</f>
        <v>35695607</v>
      </c>
      <c r="P54" s="840"/>
      <c r="Q54" s="841"/>
      <c r="R54" s="839">
        <f>SUM(R53:V53)</f>
        <v>35695607</v>
      </c>
      <c r="S54" s="842"/>
      <c r="T54" s="842"/>
      <c r="U54" s="842"/>
      <c r="V54" s="843"/>
    </row>
  </sheetData>
  <mergeCells count="34">
    <mergeCell ref="O54:Q54"/>
    <mergeCell ref="R54:V54"/>
    <mergeCell ref="A53:N54"/>
    <mergeCell ref="R51:T51"/>
    <mergeCell ref="R52:T52"/>
    <mergeCell ref="R53:T53"/>
    <mergeCell ref="A52:B52"/>
    <mergeCell ref="A1:V1"/>
    <mergeCell ref="R6:T6"/>
    <mergeCell ref="R2:V4"/>
    <mergeCell ref="A49:B49"/>
    <mergeCell ref="M2:M6"/>
    <mergeCell ref="D4:E4"/>
    <mergeCell ref="F4:F6"/>
    <mergeCell ref="N2:Q4"/>
    <mergeCell ref="O5:Q5"/>
    <mergeCell ref="C2:K2"/>
    <mergeCell ref="U5:U6"/>
    <mergeCell ref="A50:B50"/>
    <mergeCell ref="A51:B51"/>
    <mergeCell ref="L3:L6"/>
    <mergeCell ref="A48:B48"/>
    <mergeCell ref="H4:H6"/>
    <mergeCell ref="K4:K6"/>
    <mergeCell ref="D5:D6"/>
    <mergeCell ref="E5:E6"/>
    <mergeCell ref="G4:G6"/>
    <mergeCell ref="I3:I6"/>
    <mergeCell ref="A2:A6"/>
    <mergeCell ref="B2:B6"/>
    <mergeCell ref="C3:E3"/>
    <mergeCell ref="F3:H3"/>
    <mergeCell ref="J3:J6"/>
    <mergeCell ref="C4:C6"/>
  </mergeCells>
  <pageMargins left="0.7" right="0.7" top="0.75" bottom="0.75" header="0.3" footer="0.3"/>
  <pageSetup paperSize="9" scale="6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6"/>
  <sheetViews>
    <sheetView tabSelected="1" workbookViewId="0">
      <selection activeCell="B15" sqref="A15:XFD15"/>
    </sheetView>
  </sheetViews>
  <sheetFormatPr defaultRowHeight="15" x14ac:dyDescent="0.25"/>
  <cols>
    <col min="2" max="2" width="50.42578125" bestFit="1" customWidth="1"/>
    <col min="3" max="3" width="32" customWidth="1"/>
    <col min="4" max="4" width="13.85546875" bestFit="1" customWidth="1"/>
    <col min="5" max="5" width="16.28515625" customWidth="1"/>
    <col min="6" max="6" width="20.85546875" customWidth="1"/>
    <col min="7" max="7" width="17.5703125" customWidth="1"/>
    <col min="8" max="8" width="17.85546875" customWidth="1"/>
    <col min="9" max="9" width="17.42578125" customWidth="1"/>
    <col min="10" max="10" width="9.85546875" bestFit="1" customWidth="1"/>
  </cols>
  <sheetData>
    <row r="1" spans="1:10" ht="21" thickBot="1" x14ac:dyDescent="0.35">
      <c r="A1" s="881" t="s">
        <v>707</v>
      </c>
      <c r="B1" s="881"/>
      <c r="C1" s="881"/>
      <c r="D1" s="881"/>
      <c r="E1" s="881"/>
      <c r="F1" s="881"/>
      <c r="G1" s="881"/>
      <c r="H1" s="881"/>
      <c r="I1" s="881"/>
    </row>
    <row r="2" spans="1:10" ht="16.5" thickBot="1" x14ac:dyDescent="0.3">
      <c r="A2" s="882" t="s">
        <v>630</v>
      </c>
      <c r="B2" s="883"/>
      <c r="C2" s="888" t="s">
        <v>643</v>
      </c>
      <c r="D2" s="891" t="s">
        <v>644</v>
      </c>
      <c r="E2" s="892"/>
      <c r="F2" s="892"/>
      <c r="G2" s="892"/>
      <c r="H2" s="892"/>
      <c r="I2" s="893"/>
    </row>
    <row r="3" spans="1:10" ht="16.5" customHeight="1" thickBot="1" x14ac:dyDescent="0.3">
      <c r="A3" s="884"/>
      <c r="B3" s="885"/>
      <c r="C3" s="889"/>
      <c r="D3" s="894" t="s">
        <v>631</v>
      </c>
      <c r="E3" s="895"/>
      <c r="F3" s="896"/>
      <c r="G3" s="894" t="s">
        <v>632</v>
      </c>
      <c r="H3" s="895"/>
      <c r="I3" s="896"/>
    </row>
    <row r="4" spans="1:10" ht="48" thickBot="1" x14ac:dyDescent="0.3">
      <c r="A4" s="886"/>
      <c r="B4" s="887"/>
      <c r="C4" s="890"/>
      <c r="D4" s="538" t="s">
        <v>633</v>
      </c>
      <c r="E4" s="539" t="s">
        <v>634</v>
      </c>
      <c r="F4" s="538" t="s">
        <v>671</v>
      </c>
      <c r="G4" s="540" t="s">
        <v>635</v>
      </c>
      <c r="H4" s="541" t="s">
        <v>636</v>
      </c>
      <c r="I4" s="542" t="s">
        <v>672</v>
      </c>
    </row>
    <row r="5" spans="1:10" ht="16.5" thickBot="1" x14ac:dyDescent="0.3">
      <c r="A5" s="872" t="s">
        <v>378</v>
      </c>
      <c r="B5" s="873"/>
      <c r="C5" s="543">
        <f>'sumár '!I5</f>
        <v>25673049</v>
      </c>
      <c r="D5" s="544"/>
      <c r="E5" s="545"/>
      <c r="F5" s="546">
        <v>236792</v>
      </c>
      <c r="G5" s="544">
        <f>C5-I5-F5</f>
        <v>25416257</v>
      </c>
      <c r="H5" s="547"/>
      <c r="I5" s="548">
        <v>20000</v>
      </c>
      <c r="J5" s="1"/>
    </row>
    <row r="6" spans="1:10" ht="16.5" thickBot="1" x14ac:dyDescent="0.3">
      <c r="A6" s="872" t="s">
        <v>381</v>
      </c>
      <c r="B6" s="873"/>
      <c r="C6" s="549">
        <f t="shared" ref="C6:I6" si="0">SUM(C7:C29)</f>
        <v>8858658</v>
      </c>
      <c r="D6" s="550">
        <f>SUM(D7:D29)</f>
        <v>1179500</v>
      </c>
      <c r="E6" s="551">
        <f>SUM(E7:E29)</f>
        <v>6856097</v>
      </c>
      <c r="F6" s="551">
        <f>SUM(F7:F29)</f>
        <v>41160</v>
      </c>
      <c r="G6" s="550">
        <f>SUM(G7:G29)</f>
        <v>722055</v>
      </c>
      <c r="H6" s="582">
        <f t="shared" si="0"/>
        <v>15000</v>
      </c>
      <c r="I6" s="548">
        <f t="shared" si="0"/>
        <v>44846</v>
      </c>
      <c r="J6" s="1"/>
    </row>
    <row r="7" spans="1:10" ht="15.75" x14ac:dyDescent="0.25">
      <c r="A7" s="687" t="s">
        <v>446</v>
      </c>
      <c r="B7" s="530" t="s">
        <v>452</v>
      </c>
      <c r="C7" s="586">
        <v>70000</v>
      </c>
      <c r="D7" s="552"/>
      <c r="E7" s="553">
        <v>9900</v>
      </c>
      <c r="F7" s="554"/>
      <c r="G7" s="555">
        <v>60100</v>
      </c>
      <c r="H7" s="556"/>
      <c r="I7" s="557"/>
    </row>
    <row r="8" spans="1:10" ht="15.75" x14ac:dyDescent="0.25">
      <c r="A8" s="562" t="s">
        <v>673</v>
      </c>
      <c r="B8" s="530" t="s">
        <v>662</v>
      </c>
      <c r="C8" s="586">
        <v>138900</v>
      </c>
      <c r="D8" s="552"/>
      <c r="E8" s="553">
        <v>131850</v>
      </c>
      <c r="F8" s="554"/>
      <c r="G8" s="555">
        <v>7050</v>
      </c>
      <c r="H8" s="556"/>
      <c r="I8" s="557"/>
    </row>
    <row r="9" spans="1:10" ht="15.75" x14ac:dyDescent="0.25">
      <c r="A9" s="878" t="s">
        <v>570</v>
      </c>
      <c r="B9" s="530" t="s">
        <v>675</v>
      </c>
      <c r="C9" s="586">
        <v>15000</v>
      </c>
      <c r="D9" s="552"/>
      <c r="E9" s="553"/>
      <c r="F9" s="554"/>
      <c r="G9" s="555">
        <v>15000</v>
      </c>
      <c r="H9" s="556"/>
      <c r="I9" s="557"/>
    </row>
    <row r="10" spans="1:10" ht="15.75" x14ac:dyDescent="0.25">
      <c r="A10" s="879"/>
      <c r="B10" s="530" t="s">
        <v>688</v>
      </c>
      <c r="C10" s="586">
        <v>2100</v>
      </c>
      <c r="D10" s="552"/>
      <c r="E10" s="553"/>
      <c r="F10" s="554"/>
      <c r="G10" s="555">
        <v>2100</v>
      </c>
      <c r="H10" s="556"/>
      <c r="I10" s="557"/>
    </row>
    <row r="11" spans="1:10" ht="15.75" x14ac:dyDescent="0.25">
      <c r="A11" s="880"/>
      <c r="B11" s="387" t="s">
        <v>447</v>
      </c>
      <c r="C11" s="405">
        <v>115000</v>
      </c>
      <c r="D11" s="552"/>
      <c r="E11" s="553"/>
      <c r="F11" s="554"/>
      <c r="G11" s="555">
        <v>104784</v>
      </c>
      <c r="H11" s="556"/>
      <c r="I11" s="557">
        <v>10216</v>
      </c>
    </row>
    <row r="12" spans="1:10" ht="15.75" x14ac:dyDescent="0.25">
      <c r="A12" s="878" t="s">
        <v>448</v>
      </c>
      <c r="B12" s="388" t="s">
        <v>565</v>
      </c>
      <c r="C12" s="405">
        <v>227000</v>
      </c>
      <c r="D12" s="555"/>
      <c r="E12" s="559"/>
      <c r="F12" s="560"/>
      <c r="G12" s="555">
        <v>227000</v>
      </c>
      <c r="H12" s="559"/>
      <c r="I12" s="561"/>
    </row>
    <row r="13" spans="1:10" ht="15.75" x14ac:dyDescent="0.25">
      <c r="A13" s="879"/>
      <c r="B13" s="387" t="s">
        <v>697</v>
      </c>
      <c r="C13" s="405">
        <v>55000</v>
      </c>
      <c r="D13" s="555"/>
      <c r="E13" s="559"/>
      <c r="F13" s="560"/>
      <c r="G13" s="555">
        <v>55000</v>
      </c>
      <c r="H13" s="559"/>
      <c r="I13" s="561"/>
    </row>
    <row r="14" spans="1:10" ht="15.75" x14ac:dyDescent="0.25">
      <c r="A14" s="879"/>
      <c r="B14" s="387" t="s">
        <v>663</v>
      </c>
      <c r="C14" s="405">
        <v>16800</v>
      </c>
      <c r="D14" s="555"/>
      <c r="E14" s="559"/>
      <c r="F14" s="560"/>
      <c r="G14" s="555">
        <v>16800</v>
      </c>
      <c r="H14" s="559"/>
      <c r="I14" s="561"/>
    </row>
    <row r="15" spans="1:10" ht="15.75" x14ac:dyDescent="0.25">
      <c r="A15" s="880"/>
      <c r="B15" s="387" t="s">
        <v>629</v>
      </c>
      <c r="C15" s="405">
        <v>5853100</v>
      </c>
      <c r="D15" s="555">
        <v>359000</v>
      </c>
      <c r="E15" s="559">
        <v>5473425</v>
      </c>
      <c r="F15" s="560"/>
      <c r="G15" s="555">
        <v>20675</v>
      </c>
      <c r="H15" s="559"/>
      <c r="I15" s="561"/>
    </row>
    <row r="16" spans="1:10" ht="15.75" x14ac:dyDescent="0.25">
      <c r="A16" s="878" t="s">
        <v>545</v>
      </c>
      <c r="B16" s="387" t="s">
        <v>691</v>
      </c>
      <c r="C16" s="405">
        <v>9721</v>
      </c>
      <c r="D16" s="555"/>
      <c r="E16" s="559"/>
      <c r="F16" s="560"/>
      <c r="G16" s="555">
        <v>9721</v>
      </c>
      <c r="H16" s="559"/>
      <c r="I16" s="561"/>
    </row>
    <row r="17" spans="1:10" ht="15.75" x14ac:dyDescent="0.25">
      <c r="A17" s="879"/>
      <c r="B17" s="387" t="s">
        <v>692</v>
      </c>
      <c r="C17" s="405">
        <v>11732</v>
      </c>
      <c r="D17" s="555"/>
      <c r="E17" s="559"/>
      <c r="F17" s="560"/>
      <c r="G17" s="555">
        <v>11732</v>
      </c>
      <c r="H17" s="559"/>
      <c r="I17" s="561"/>
    </row>
    <row r="18" spans="1:10" ht="15.75" x14ac:dyDescent="0.25">
      <c r="A18" s="879"/>
      <c r="B18" s="387" t="s">
        <v>693</v>
      </c>
      <c r="C18" s="405">
        <v>11000</v>
      </c>
      <c r="D18" s="555"/>
      <c r="E18" s="559"/>
      <c r="F18" s="560"/>
      <c r="G18" s="555">
        <v>11000</v>
      </c>
      <c r="H18" s="559"/>
      <c r="I18" s="561"/>
    </row>
    <row r="19" spans="1:10" ht="15.75" x14ac:dyDescent="0.25">
      <c r="A19" s="880"/>
      <c r="B19" s="388" t="s">
        <v>604</v>
      </c>
      <c r="C19" s="405">
        <v>9000</v>
      </c>
      <c r="D19" s="555"/>
      <c r="E19" s="559"/>
      <c r="F19" s="560"/>
      <c r="G19" s="555">
        <v>9000</v>
      </c>
      <c r="H19" s="559"/>
      <c r="I19" s="561"/>
    </row>
    <row r="20" spans="1:10" ht="15.75" x14ac:dyDescent="0.25">
      <c r="A20" s="562" t="s">
        <v>628</v>
      </c>
      <c r="B20" s="388" t="s">
        <v>627</v>
      </c>
      <c r="C20" s="405">
        <v>85005</v>
      </c>
      <c r="D20" s="583">
        <v>85000</v>
      </c>
      <c r="E20" s="556"/>
      <c r="F20" s="584"/>
      <c r="G20" s="555">
        <v>5</v>
      </c>
      <c r="H20" s="559"/>
      <c r="I20" s="561"/>
    </row>
    <row r="21" spans="1:10" ht="15.75" x14ac:dyDescent="0.25">
      <c r="A21" s="562" t="s">
        <v>546</v>
      </c>
      <c r="B21" s="388" t="s">
        <v>605</v>
      </c>
      <c r="C21" s="405">
        <v>494000</v>
      </c>
      <c r="D21" s="555">
        <v>494000</v>
      </c>
      <c r="E21" s="559"/>
      <c r="F21" s="563"/>
      <c r="G21" s="558"/>
      <c r="H21" s="559"/>
      <c r="I21" s="561"/>
    </row>
    <row r="22" spans="1:10" ht="15.75" x14ac:dyDescent="0.25">
      <c r="A22" s="874" t="s">
        <v>589</v>
      </c>
      <c r="B22" s="388" t="s">
        <v>626</v>
      </c>
      <c r="C22" s="405">
        <v>66500</v>
      </c>
      <c r="D22" s="555"/>
      <c r="E22" s="559"/>
      <c r="F22" s="563">
        <v>34500</v>
      </c>
      <c r="G22" s="558">
        <v>11500</v>
      </c>
      <c r="H22" s="559">
        <v>15000</v>
      </c>
      <c r="I22" s="561">
        <v>5500</v>
      </c>
    </row>
    <row r="23" spans="1:10" ht="15.75" x14ac:dyDescent="0.25">
      <c r="A23" s="874"/>
      <c r="B23" s="388" t="s">
        <v>695</v>
      </c>
      <c r="C23" s="405">
        <v>4500</v>
      </c>
      <c r="D23" s="555"/>
      <c r="E23" s="559">
        <v>3882</v>
      </c>
      <c r="F23" s="563"/>
      <c r="G23" s="558">
        <v>618</v>
      </c>
      <c r="H23" s="559"/>
      <c r="I23" s="561"/>
    </row>
    <row r="24" spans="1:10" ht="15.75" x14ac:dyDescent="0.25">
      <c r="A24" s="874"/>
      <c r="B24" s="387" t="s">
        <v>674</v>
      </c>
      <c r="C24" s="405">
        <v>911660</v>
      </c>
      <c r="D24" s="555">
        <v>241500</v>
      </c>
      <c r="E24" s="559">
        <v>615000</v>
      </c>
      <c r="F24" s="563">
        <v>6660</v>
      </c>
      <c r="G24" s="558">
        <v>25000</v>
      </c>
      <c r="H24" s="559"/>
      <c r="I24" s="561">
        <v>23500</v>
      </c>
    </row>
    <row r="25" spans="1:10" ht="15.75" x14ac:dyDescent="0.25">
      <c r="A25" s="878" t="s">
        <v>625</v>
      </c>
      <c r="B25" s="387" t="s">
        <v>696</v>
      </c>
      <c r="C25" s="405">
        <v>16640</v>
      </c>
      <c r="D25" s="555"/>
      <c r="E25" s="559"/>
      <c r="F25" s="563"/>
      <c r="G25" s="558">
        <v>16640</v>
      </c>
      <c r="H25" s="559"/>
      <c r="I25" s="561"/>
    </row>
    <row r="26" spans="1:10" ht="15.75" x14ac:dyDescent="0.25">
      <c r="A26" s="879"/>
      <c r="B26" s="387" t="s">
        <v>701</v>
      </c>
      <c r="C26" s="405">
        <v>11000</v>
      </c>
      <c r="D26" s="555"/>
      <c r="E26" s="559">
        <v>11000</v>
      </c>
      <c r="F26" s="563"/>
      <c r="G26" s="558"/>
      <c r="H26" s="559"/>
      <c r="I26" s="561"/>
    </row>
    <row r="27" spans="1:10" ht="15.75" x14ac:dyDescent="0.25">
      <c r="A27" s="880"/>
      <c r="B27" s="387" t="s">
        <v>544</v>
      </c>
      <c r="C27" s="405">
        <v>10000</v>
      </c>
      <c r="D27" s="555"/>
      <c r="E27" s="559"/>
      <c r="F27" s="563"/>
      <c r="G27" s="558">
        <v>10000</v>
      </c>
      <c r="H27" s="559"/>
      <c r="I27" s="561"/>
    </row>
    <row r="28" spans="1:10" ht="15.75" x14ac:dyDescent="0.25">
      <c r="A28" s="874" t="s">
        <v>449</v>
      </c>
      <c r="B28" s="389" t="s">
        <v>624</v>
      </c>
      <c r="C28" s="587">
        <v>705000</v>
      </c>
      <c r="D28" s="555"/>
      <c r="E28" s="559">
        <v>611040</v>
      </c>
      <c r="F28" s="560"/>
      <c r="G28" s="555">
        <v>93960</v>
      </c>
      <c r="H28" s="559"/>
      <c r="I28" s="561"/>
    </row>
    <row r="29" spans="1:10" ht="16.5" thickBot="1" x14ac:dyDescent="0.3">
      <c r="A29" s="875"/>
      <c r="B29" s="581" t="s">
        <v>450</v>
      </c>
      <c r="C29" s="587">
        <v>20000</v>
      </c>
      <c r="D29" s="555"/>
      <c r="E29" s="559"/>
      <c r="F29" s="560"/>
      <c r="G29" s="555">
        <v>14370</v>
      </c>
      <c r="H29" s="559"/>
      <c r="I29" s="561">
        <v>5630</v>
      </c>
    </row>
    <row r="30" spans="1:10" ht="16.5" thickBot="1" x14ac:dyDescent="0.3">
      <c r="A30" s="876" t="s">
        <v>637</v>
      </c>
      <c r="B30" s="877"/>
      <c r="C30" s="568">
        <f>SUM(C31:C34)</f>
        <v>1163900</v>
      </c>
      <c r="D30" s="569">
        <f>SUM(D32:D34)</f>
        <v>500000</v>
      </c>
      <c r="E30" s="570">
        <f>SUM(E32:E34)</f>
        <v>0</v>
      </c>
      <c r="F30" s="571">
        <f>SUM(F31:F34)</f>
        <v>7150</v>
      </c>
      <c r="G30" s="569">
        <f>SUM(G32:G34)</f>
        <v>208966</v>
      </c>
      <c r="H30" s="570">
        <f>SUM(H32:H34)</f>
        <v>0</v>
      </c>
      <c r="I30" s="571">
        <f>SUM(I32:I34)</f>
        <v>447784</v>
      </c>
      <c r="J30" s="1"/>
    </row>
    <row r="31" spans="1:10" ht="15.75" x14ac:dyDescent="0.25">
      <c r="A31" s="857" t="s">
        <v>698</v>
      </c>
      <c r="B31" s="858"/>
      <c r="C31" s="656">
        <v>7150</v>
      </c>
      <c r="D31" s="654"/>
      <c r="E31" s="655"/>
      <c r="F31" s="657">
        <v>7150</v>
      </c>
      <c r="G31" s="655"/>
      <c r="H31" s="655"/>
      <c r="I31" s="657"/>
      <c r="J31" s="1"/>
    </row>
    <row r="32" spans="1:10" x14ac:dyDescent="0.25">
      <c r="A32" s="870" t="s">
        <v>638</v>
      </c>
      <c r="B32" s="871"/>
      <c r="C32" s="588">
        <v>208950</v>
      </c>
      <c r="D32" s="555"/>
      <c r="E32" s="559"/>
      <c r="F32" s="572"/>
      <c r="G32" s="560">
        <v>208950</v>
      </c>
      <c r="H32" s="559"/>
      <c r="I32" s="561"/>
    </row>
    <row r="33" spans="1:9" x14ac:dyDescent="0.25">
      <c r="A33" s="868" t="s">
        <v>641</v>
      </c>
      <c r="B33" s="869"/>
      <c r="C33" s="585">
        <v>447800</v>
      </c>
      <c r="D33" s="564"/>
      <c r="E33" s="565"/>
      <c r="F33" s="580"/>
      <c r="G33" s="566">
        <v>16</v>
      </c>
      <c r="H33" s="565"/>
      <c r="I33" s="567">
        <v>447784</v>
      </c>
    </row>
    <row r="34" spans="1:9" ht="15.75" thickBot="1" x14ac:dyDescent="0.3">
      <c r="A34" s="868" t="s">
        <v>640</v>
      </c>
      <c r="B34" s="869"/>
      <c r="C34" s="585">
        <v>500000</v>
      </c>
      <c r="D34" s="573">
        <v>500000</v>
      </c>
      <c r="E34" s="574"/>
      <c r="F34" s="575"/>
      <c r="G34" s="566"/>
      <c r="H34" s="565"/>
      <c r="I34" s="567"/>
    </row>
    <row r="35" spans="1:9" ht="18.75" thickBot="1" x14ac:dyDescent="0.3">
      <c r="A35" s="859" t="s">
        <v>639</v>
      </c>
      <c r="B35" s="860"/>
      <c r="C35" s="863">
        <f>C30+C6+C5</f>
        <v>35695607</v>
      </c>
      <c r="D35" s="576">
        <f>D5+D6+D30</f>
        <v>1679500</v>
      </c>
      <c r="E35" s="577">
        <f t="shared" ref="E35:H35" si="1">E5+E6+E30</f>
        <v>6856097</v>
      </c>
      <c r="F35" s="577">
        <f>F5+F6+F30</f>
        <v>285102</v>
      </c>
      <c r="G35" s="578">
        <f t="shared" si="1"/>
        <v>26347278</v>
      </c>
      <c r="H35" s="577">
        <f t="shared" si="1"/>
        <v>15000</v>
      </c>
      <c r="I35" s="579">
        <f>I5+I6+I30</f>
        <v>512630</v>
      </c>
    </row>
    <row r="36" spans="1:9" ht="18.75" thickBot="1" x14ac:dyDescent="0.3">
      <c r="A36" s="861"/>
      <c r="B36" s="862"/>
      <c r="C36" s="864"/>
      <c r="D36" s="865">
        <f>SUM(D35:I35)</f>
        <v>35695607</v>
      </c>
      <c r="E36" s="866"/>
      <c r="F36" s="866"/>
      <c r="G36" s="866"/>
      <c r="H36" s="866"/>
      <c r="I36" s="867"/>
    </row>
  </sheetData>
  <mergeCells count="22">
    <mergeCell ref="A1:I1"/>
    <mergeCell ref="A2:B4"/>
    <mergeCell ref="C2:C4"/>
    <mergeCell ref="D2:I2"/>
    <mergeCell ref="G3:I3"/>
    <mergeCell ref="D3:F3"/>
    <mergeCell ref="A5:B5"/>
    <mergeCell ref="A6:B6"/>
    <mergeCell ref="A28:A29"/>
    <mergeCell ref="A22:A24"/>
    <mergeCell ref="A30:B30"/>
    <mergeCell ref="A9:A11"/>
    <mergeCell ref="A12:A15"/>
    <mergeCell ref="A16:A19"/>
    <mergeCell ref="A25:A27"/>
    <mergeCell ref="A31:B31"/>
    <mergeCell ref="A35:B36"/>
    <mergeCell ref="C35:C36"/>
    <mergeCell ref="D36:I36"/>
    <mergeCell ref="A33:B33"/>
    <mergeCell ref="A32:B32"/>
    <mergeCell ref="A34:B34"/>
  </mergeCells>
  <pageMargins left="0.7" right="0.7" top="0.75" bottom="0.75" header="0.3" footer="0.3"/>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4</vt:i4>
      </vt:variant>
    </vt:vector>
  </HeadingPairs>
  <TitlesOfParts>
    <vt:vector size="13" baseType="lpstr">
      <vt:lpstr>príjmy </vt:lpstr>
      <vt:lpstr>výdavky </vt:lpstr>
      <vt:lpstr>sumár </vt:lpstr>
      <vt:lpstr>pomocná tabuľka - príjmy 2013</vt:lpstr>
      <vt:lpstr>pomocná tabuľka - výdavky 2013</vt:lpstr>
      <vt:lpstr>pomocná tabuľka - sumár 2013</vt:lpstr>
      <vt:lpstr>investície</vt:lpstr>
      <vt:lpstr>Rozpočet celkový 2023</vt:lpstr>
      <vt:lpstr>zdroje financovania 2023</vt:lpstr>
      <vt:lpstr>'pomocná tabuľka - príjmy 2013'!Názvy_tlače</vt:lpstr>
      <vt:lpstr>'pomocná tabuľka - výdavky 2013'!Názvy_tlače</vt:lpstr>
      <vt:lpstr>'príjmy '!Názvy_tlače</vt:lpstr>
      <vt:lpstr>'výdavky '!Názvy_tlače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Original HM</dc:creator>
  <cp:lastModifiedBy>Jana Kovacikova</cp:lastModifiedBy>
  <cp:lastPrinted>2023-06-12T11:27:03Z</cp:lastPrinted>
  <dcterms:created xsi:type="dcterms:W3CDTF">2013-01-26T12:47:58Z</dcterms:created>
  <dcterms:modified xsi:type="dcterms:W3CDTF">2023-06-14T05:15:41Z</dcterms:modified>
</cp:coreProperties>
</file>