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3\Záverečný účet 2023\Materiál\"/>
    </mc:Choice>
  </mc:AlternateContent>
  <xr:revisionPtr revIDLastSave="0" documentId="13_ncr:1_{B3CD4673-0A8E-4FB3-9132-4E3816325481}" xr6:coauthVersionLast="47" xr6:coauthVersionMax="47" xr10:uidLastSave="{00000000-0000-0000-0000-000000000000}"/>
  <bookViews>
    <workbookView xWindow="-120" yWindow="-120" windowWidth="29040" windowHeight="15840" tabRatio="638" activeTab="7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úverová zaťaženosť" sheetId="15" r:id="rId8"/>
    <sheet name="Čerpanie celkové" sheetId="1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7" l="1"/>
  <c r="D34" i="7"/>
  <c r="E34" i="7"/>
  <c r="C33" i="7"/>
  <c r="D33" i="7"/>
  <c r="E33" i="7"/>
  <c r="B34" i="7"/>
  <c r="B33" i="7"/>
  <c r="E11" i="14"/>
  <c r="J10" i="14"/>
  <c r="K10" i="14"/>
  <c r="D14" i="12" l="1"/>
  <c r="L25" i="15" l="1"/>
  <c r="L24" i="15"/>
  <c r="L20" i="15"/>
  <c r="L19" i="15"/>
  <c r="H18" i="15"/>
  <c r="G18" i="15"/>
  <c r="F18" i="15"/>
  <c r="M18" i="15"/>
  <c r="L18" i="15"/>
  <c r="L26" i="15" l="1"/>
  <c r="H9" i="15"/>
  <c r="H8" i="15"/>
  <c r="H7" i="15"/>
  <c r="H5" i="15"/>
  <c r="H6" i="15"/>
  <c r="G50" i="14" l="1"/>
  <c r="E93" i="5" l="1"/>
  <c r="D93" i="5"/>
  <c r="D52" i="5"/>
  <c r="D51" i="5"/>
  <c r="E51" i="5"/>
  <c r="E21" i="5"/>
  <c r="D21" i="5"/>
  <c r="E61" i="5"/>
  <c r="D61" i="5"/>
  <c r="E52" i="5"/>
  <c r="M20" i="14" l="1"/>
  <c r="M21" i="14"/>
  <c r="M22" i="14"/>
  <c r="M23" i="14"/>
  <c r="M24" i="14"/>
  <c r="M19" i="14"/>
  <c r="E29" i="14" l="1"/>
  <c r="E43" i="14"/>
  <c r="O43" i="14" s="1"/>
  <c r="N43" i="14" s="1"/>
  <c r="E42" i="14"/>
  <c r="E40" i="14"/>
  <c r="E37" i="14"/>
  <c r="E49" i="14" s="1"/>
  <c r="P10" i="14"/>
  <c r="L21" i="14"/>
  <c r="L46" i="14" s="1"/>
  <c r="L10" i="14"/>
  <c r="F26" i="14"/>
  <c r="E16" i="14"/>
  <c r="E15" i="14"/>
  <c r="E14" i="14"/>
  <c r="F12" i="14"/>
  <c r="E12" i="14"/>
  <c r="F11" i="14"/>
  <c r="E24" i="14"/>
  <c r="D24" i="14"/>
  <c r="E23" i="14"/>
  <c r="D23" i="14"/>
  <c r="E22" i="14"/>
  <c r="D22" i="14"/>
  <c r="E21" i="14"/>
  <c r="D21" i="14"/>
  <c r="E20" i="14"/>
  <c r="D20" i="14"/>
  <c r="E19" i="14"/>
  <c r="D19" i="14"/>
  <c r="E129" i="5" l="1"/>
  <c r="C15" i="12" l="1"/>
  <c r="E57" i="5" l="1"/>
  <c r="E90" i="5" l="1"/>
  <c r="D31" i="12" l="1"/>
  <c r="C21" i="12"/>
  <c r="C31" i="12" l="1"/>
  <c r="D126" i="5"/>
  <c r="E126" i="5"/>
  <c r="D111" i="5"/>
  <c r="E111" i="5"/>
  <c r="D107" i="5"/>
  <c r="E107" i="5"/>
  <c r="D63" i="5"/>
  <c r="E63" i="5"/>
  <c r="D54" i="5"/>
  <c r="E54" i="5"/>
  <c r="D31" i="5"/>
  <c r="E31" i="5"/>
  <c r="D18" i="5"/>
  <c r="E18" i="5"/>
  <c r="D9" i="5"/>
  <c r="E9" i="5"/>
  <c r="D7" i="5"/>
  <c r="E7" i="5"/>
  <c r="D5" i="5"/>
  <c r="E5" i="5"/>
  <c r="E106" i="5" l="1"/>
  <c r="D106" i="5"/>
  <c r="E17" i="5"/>
  <c r="D17" i="5"/>
  <c r="E4" i="5"/>
  <c r="D4" i="5"/>
  <c r="E3" i="5" l="1"/>
  <c r="D3" i="5"/>
  <c r="D135" i="5" s="1"/>
  <c r="E135" i="5" l="1"/>
  <c r="E4" i="7"/>
  <c r="S181" i="6"/>
  <c r="S177" i="6"/>
  <c r="S176" i="6"/>
  <c r="S175" i="6"/>
  <c r="S174" i="6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19" i="6"/>
  <c r="S117" i="6"/>
  <c r="S115" i="6"/>
  <c r="S114" i="6"/>
  <c r="S105" i="6"/>
  <c r="S104" i="6"/>
  <c r="S103" i="6"/>
  <c r="S102" i="6"/>
  <c r="S101" i="6"/>
  <c r="S100" i="6"/>
  <c r="S99" i="6"/>
  <c r="S98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51" i="6"/>
  <c r="S50" i="6"/>
  <c r="S49" i="6"/>
  <c r="S47" i="6"/>
  <c r="S21" i="6"/>
  <c r="S20" i="6"/>
  <c r="S19" i="6"/>
  <c r="S18" i="6"/>
  <c r="S17" i="6"/>
  <c r="S16" i="6"/>
  <c r="S15" i="6"/>
  <c r="S13" i="6"/>
  <c r="S12" i="6"/>
  <c r="S11" i="6"/>
  <c r="S10" i="6"/>
  <c r="R181" i="6"/>
  <c r="R178" i="6"/>
  <c r="R177" i="6"/>
  <c r="R176" i="6"/>
  <c r="R175" i="6"/>
  <c r="R174" i="6"/>
  <c r="R172" i="6"/>
  <c r="R171" i="6"/>
  <c r="R170" i="6"/>
  <c r="R169" i="6"/>
  <c r="R166" i="6"/>
  <c r="R164" i="6"/>
  <c r="R163" i="6"/>
  <c r="R161" i="6"/>
  <c r="R160" i="6"/>
  <c r="R159" i="6"/>
  <c r="R158" i="6"/>
  <c r="R156" i="6"/>
  <c r="R155" i="6"/>
  <c r="R154" i="6"/>
  <c r="R119" i="6"/>
  <c r="R117" i="6" l="1"/>
  <c r="R115" i="6"/>
  <c r="R114" i="6"/>
  <c r="R105" i="6"/>
  <c r="R104" i="6"/>
  <c r="R103" i="6"/>
  <c r="R102" i="6" l="1"/>
  <c r="R101" i="6"/>
  <c r="R100" i="6"/>
  <c r="R99" i="6"/>
  <c r="R98" i="6"/>
  <c r="R94" i="6"/>
  <c r="R92" i="6"/>
  <c r="R90" i="6"/>
  <c r="R87" i="6"/>
  <c r="R86" i="6"/>
  <c r="R84" i="6"/>
  <c r="R83" i="6"/>
  <c r="R82" i="6"/>
  <c r="R81" i="6"/>
  <c r="R80" i="6"/>
  <c r="R78" i="6"/>
  <c r="R75" i="6"/>
  <c r="R74" i="6"/>
  <c r="R73" i="6"/>
  <c r="R71" i="6"/>
  <c r="R70" i="6"/>
  <c r="R51" i="6"/>
  <c r="R50" i="6"/>
  <c r="R49" i="6"/>
  <c r="R47" i="6"/>
  <c r="R21" i="6"/>
  <c r="R20" i="6"/>
  <c r="R19" i="6"/>
  <c r="R18" i="6"/>
  <c r="R16" i="6"/>
  <c r="R15" i="6"/>
  <c r="R13" i="6"/>
  <c r="R12" i="6"/>
  <c r="R11" i="6"/>
  <c r="R10" i="6"/>
  <c r="Q181" i="6"/>
  <c r="Q164" i="6"/>
  <c r="Q160" i="6"/>
  <c r="Q155" i="6"/>
  <c r="Q117" i="6"/>
  <c r="Q115" i="6"/>
  <c r="Q114" i="6"/>
  <c r="Q105" i="6"/>
  <c r="Q104" i="6"/>
  <c r="Q103" i="6"/>
  <c r="Q102" i="6"/>
  <c r="Q101" i="6"/>
  <c r="Q100" i="6"/>
  <c r="Q99" i="6"/>
  <c r="Q98" i="6"/>
  <c r="Q94" i="6"/>
  <c r="Q90" i="6"/>
  <c r="Q87" i="6"/>
  <c r="Q86" i="6"/>
  <c r="Q84" i="6"/>
  <c r="Q79" i="6"/>
  <c r="Q78" i="6"/>
  <c r="Q74" i="6"/>
  <c r="Q73" i="6"/>
  <c r="Q51" i="6"/>
  <c r="Q50" i="6"/>
  <c r="Q21" i="6"/>
  <c r="Q20" i="6"/>
  <c r="Q16" i="6"/>
  <c r="Q13" i="6"/>
  <c r="O177" i="6"/>
  <c r="O181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19" i="6"/>
  <c r="O117" i="6"/>
  <c r="O115" i="6"/>
  <c r="O114" i="6"/>
  <c r="O105" i="6"/>
  <c r="O104" i="6"/>
  <c r="O103" i="6"/>
  <c r="O102" i="6"/>
  <c r="O101" i="6"/>
  <c r="O100" i="6"/>
  <c r="O99" i="6"/>
  <c r="O98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51" i="6"/>
  <c r="O50" i="6"/>
  <c r="O49" i="6"/>
  <c r="O47" i="6"/>
  <c r="O21" i="6"/>
  <c r="O20" i="6"/>
  <c r="O19" i="6"/>
  <c r="O18" i="6"/>
  <c r="O17" i="6"/>
  <c r="O16" i="6"/>
  <c r="O15" i="6"/>
  <c r="O13" i="6"/>
  <c r="O12" i="6"/>
  <c r="O11" i="6"/>
  <c r="O10" i="6"/>
  <c r="N181" i="6"/>
  <c r="N177" i="6"/>
  <c r="N176" i="6"/>
  <c r="N175" i="6"/>
  <c r="N174" i="6"/>
  <c r="N172" i="6"/>
  <c r="N171" i="6"/>
  <c r="N170" i="6"/>
  <c r="N169" i="6"/>
  <c r="N168" i="6"/>
  <c r="N166" i="6"/>
  <c r="N164" i="6"/>
  <c r="N163" i="6"/>
  <c r="N161" i="6"/>
  <c r="N160" i="6"/>
  <c r="N159" i="6"/>
  <c r="N158" i="6"/>
  <c r="N156" i="6"/>
  <c r="N155" i="6"/>
  <c r="N154" i="6"/>
  <c r="N119" i="6"/>
  <c r="N117" i="6"/>
  <c r="N115" i="6"/>
  <c r="N114" i="6"/>
  <c r="N105" i="6"/>
  <c r="N104" i="6"/>
  <c r="N103" i="6"/>
  <c r="N102" i="6"/>
  <c r="N101" i="6"/>
  <c r="N100" i="6"/>
  <c r="N99" i="6"/>
  <c r="N98" i="6"/>
  <c r="N94" i="6"/>
  <c r="N92" i="6"/>
  <c r="N90" i="6"/>
  <c r="N87" i="6"/>
  <c r="N86" i="6"/>
  <c r="N83" i="6"/>
  <c r="N82" i="6"/>
  <c r="N81" i="6"/>
  <c r="N80" i="6"/>
  <c r="N78" i="6"/>
  <c r="N75" i="6"/>
  <c r="N74" i="6"/>
  <c r="N73" i="6"/>
  <c r="N71" i="6"/>
  <c r="N70" i="6"/>
  <c r="N64" i="6"/>
  <c r="N51" i="6"/>
  <c r="N50" i="6"/>
  <c r="N49" i="6"/>
  <c r="N47" i="6"/>
  <c r="N21" i="6"/>
  <c r="N20" i="6"/>
  <c r="N19" i="6"/>
  <c r="N18" i="6"/>
  <c r="N16" i="6"/>
  <c r="N15" i="6"/>
  <c r="N13" i="6"/>
  <c r="N12" i="6"/>
  <c r="N11" i="6"/>
  <c r="N10" i="6"/>
  <c r="M181" i="6"/>
  <c r="M164" i="6"/>
  <c r="M160" i="6"/>
  <c r="M155" i="6"/>
  <c r="M117" i="6"/>
  <c r="M115" i="6"/>
  <c r="M114" i="6"/>
  <c r="M105" i="6"/>
  <c r="M104" i="6"/>
  <c r="M103" i="6"/>
  <c r="M102" i="6"/>
  <c r="M101" i="6"/>
  <c r="M100" i="6"/>
  <c r="M99" i="6"/>
  <c r="M98" i="6"/>
  <c r="M90" i="6"/>
  <c r="M86" i="6"/>
  <c r="M79" i="6"/>
  <c r="M78" i="6"/>
  <c r="M74" i="6"/>
  <c r="M73" i="6"/>
  <c r="M51" i="6"/>
  <c r="M50" i="6"/>
  <c r="M21" i="6"/>
  <c r="L181" i="6" l="1"/>
  <c r="N173" i="6"/>
  <c r="L78" i="6"/>
  <c r="L74" i="6"/>
  <c r="N9" i="6"/>
  <c r="L155" i="6"/>
  <c r="L115" i="6"/>
  <c r="L114" i="6"/>
  <c r="L100" i="6"/>
  <c r="L99" i="6"/>
  <c r="D30" i="7"/>
  <c r="E30" i="7"/>
  <c r="D31" i="7"/>
  <c r="E31" i="7"/>
  <c r="D32" i="7"/>
  <c r="E32" i="7"/>
  <c r="E12" i="7"/>
  <c r="D12" i="7"/>
  <c r="E8" i="7"/>
  <c r="D8" i="7"/>
  <c r="D4" i="7"/>
  <c r="P181" i="6"/>
  <c r="S173" i="6"/>
  <c r="R173" i="6"/>
  <c r="S167" i="6"/>
  <c r="P164" i="6"/>
  <c r="S162" i="6"/>
  <c r="P160" i="6"/>
  <c r="S157" i="6"/>
  <c r="R157" i="6"/>
  <c r="P155" i="6"/>
  <c r="S153" i="6"/>
  <c r="R153" i="6"/>
  <c r="O173" i="6"/>
  <c r="O167" i="6"/>
  <c r="O162" i="6"/>
  <c r="O157" i="6"/>
  <c r="O153" i="6"/>
  <c r="P117" i="6"/>
  <c r="P115" i="6"/>
  <c r="R113" i="6"/>
  <c r="Q113" i="6"/>
  <c r="P114" i="6"/>
  <c r="S113" i="6"/>
  <c r="P105" i="6"/>
  <c r="P104" i="6"/>
  <c r="P103" i="6"/>
  <c r="P102" i="6"/>
  <c r="P101" i="6"/>
  <c r="P100" i="6"/>
  <c r="R97" i="6"/>
  <c r="P99" i="6"/>
  <c r="P98" i="6"/>
  <c r="Q97" i="6"/>
  <c r="L117" i="6"/>
  <c r="M113" i="6"/>
  <c r="O113" i="6"/>
  <c r="L101" i="6"/>
  <c r="O97" i="6"/>
  <c r="P94" i="6"/>
  <c r="P93" i="6" s="1"/>
  <c r="S93" i="6"/>
  <c r="S91" i="6" s="1"/>
  <c r="R93" i="6"/>
  <c r="R91" i="6" s="1"/>
  <c r="Q93" i="6"/>
  <c r="O93" i="6"/>
  <c r="O91" i="6" s="1"/>
  <c r="P90" i="6"/>
  <c r="S88" i="6"/>
  <c r="P87" i="6"/>
  <c r="P86" i="6"/>
  <c r="S85" i="6"/>
  <c r="R85" i="6"/>
  <c r="Q85" i="6"/>
  <c r="P84" i="6"/>
  <c r="S77" i="6"/>
  <c r="P78" i="6"/>
  <c r="O88" i="6"/>
  <c r="L86" i="6"/>
  <c r="O85" i="6"/>
  <c r="N85" i="6"/>
  <c r="O77" i="6"/>
  <c r="P74" i="6"/>
  <c r="S72" i="6"/>
  <c r="R72" i="6"/>
  <c r="Q72" i="6"/>
  <c r="P73" i="6"/>
  <c r="S69" i="6"/>
  <c r="R69" i="6"/>
  <c r="O72" i="6"/>
  <c r="M72" i="6"/>
  <c r="L73" i="6"/>
  <c r="O69" i="6"/>
  <c r="N69" i="6"/>
  <c r="P51" i="6"/>
  <c r="P50" i="6"/>
  <c r="S48" i="6"/>
  <c r="S46" i="6" s="1"/>
  <c r="R48" i="6"/>
  <c r="R46" i="6" s="1"/>
  <c r="L51" i="6"/>
  <c r="O48" i="6"/>
  <c r="O46" i="6" s="1"/>
  <c r="P21" i="6"/>
  <c r="P20" i="6"/>
  <c r="S14" i="6"/>
  <c r="P16" i="6"/>
  <c r="P13" i="6"/>
  <c r="S9" i="6"/>
  <c r="R9" i="6"/>
  <c r="O14" i="6"/>
  <c r="O9" i="6"/>
  <c r="E16" i="7" l="1"/>
  <c r="D21" i="7"/>
  <c r="E40" i="7"/>
  <c r="D40" i="7"/>
  <c r="D16" i="7"/>
  <c r="E21" i="7"/>
  <c r="L21" i="6"/>
  <c r="N113" i="6"/>
  <c r="S76" i="6"/>
  <c r="P72" i="6"/>
  <c r="P113" i="6"/>
  <c r="P85" i="6"/>
  <c r="O152" i="6"/>
  <c r="O76" i="6"/>
  <c r="N153" i="6"/>
  <c r="L98" i="6"/>
  <c r="L90" i="6"/>
  <c r="L72" i="6"/>
  <c r="N72" i="6"/>
  <c r="N68" i="6" s="1"/>
  <c r="N167" i="6"/>
  <c r="L105" i="6"/>
  <c r="L50" i="6"/>
  <c r="L160" i="6"/>
  <c r="N157" i="6"/>
  <c r="L103" i="6"/>
  <c r="L102" i="6"/>
  <c r="N93" i="6"/>
  <c r="N91" i="6" s="1"/>
  <c r="N48" i="6"/>
  <c r="N46" i="6" s="1"/>
  <c r="L164" i="6"/>
  <c r="L113" i="6"/>
  <c r="M97" i="6"/>
  <c r="L104" i="6"/>
  <c r="S152" i="6"/>
  <c r="P97" i="6"/>
  <c r="S97" i="6"/>
  <c r="N97" i="6"/>
  <c r="R68" i="6"/>
  <c r="S68" i="6"/>
  <c r="O68" i="6"/>
  <c r="S8" i="6"/>
  <c r="O8" i="6"/>
  <c r="L97" i="6" l="1"/>
  <c r="T18" i="14" l="1"/>
  <c r="P19" i="14"/>
  <c r="P12" i="14"/>
  <c r="P13" i="14"/>
  <c r="P14" i="14"/>
  <c r="P15" i="14"/>
  <c r="C129" i="5" l="1"/>
  <c r="C93" i="5"/>
  <c r="C51" i="5"/>
  <c r="C21" i="5"/>
  <c r="C18" i="5" s="1"/>
  <c r="C61" i="5"/>
  <c r="C54" i="5" s="1"/>
  <c r="C52" i="5"/>
  <c r="C126" i="5" l="1"/>
  <c r="B21" i="5" l="1"/>
  <c r="B18" i="5" s="1"/>
  <c r="C90" i="5" l="1"/>
  <c r="C111" i="5" l="1"/>
  <c r="C107" i="5"/>
  <c r="C63" i="5"/>
  <c r="C31" i="5"/>
  <c r="C9" i="5"/>
  <c r="C7" i="5"/>
  <c r="C5" i="5"/>
  <c r="C17" i="5" l="1"/>
  <c r="C106" i="5"/>
  <c r="C4" i="5"/>
  <c r="C3" i="5" l="1"/>
  <c r="C135" i="5" s="1"/>
  <c r="J115" i="6" l="1"/>
  <c r="J103" i="6"/>
  <c r="J102" i="6"/>
  <c r="J100" i="6"/>
  <c r="I117" i="6"/>
  <c r="I115" i="6"/>
  <c r="I114" i="6"/>
  <c r="I105" i="6"/>
  <c r="I104" i="6"/>
  <c r="I103" i="6"/>
  <c r="I102" i="6"/>
  <c r="I100" i="6"/>
  <c r="I98" i="6"/>
  <c r="H105" i="6" l="1"/>
  <c r="H155" i="6"/>
  <c r="H51" i="6"/>
  <c r="K113" i="6"/>
  <c r="H102" i="6"/>
  <c r="H103" i="6"/>
  <c r="H98" i="6"/>
  <c r="H100" i="6"/>
  <c r="H114" i="6"/>
  <c r="I113" i="6"/>
  <c r="K97" i="6"/>
  <c r="H101" i="6"/>
  <c r="H115" i="6"/>
  <c r="J113" i="6"/>
  <c r="H104" i="6"/>
  <c r="H181" i="6"/>
  <c r="H113" i="6" l="1"/>
  <c r="C32" i="7" l="1"/>
  <c r="C31" i="7"/>
  <c r="C30" i="7"/>
  <c r="C12" i="7"/>
  <c r="C8" i="7"/>
  <c r="C4" i="7"/>
  <c r="C21" i="7" l="1"/>
  <c r="C16" i="7"/>
  <c r="C40" i="7"/>
  <c r="Q54" i="14"/>
  <c r="P46" i="14"/>
  <c r="B61" i="5" l="1"/>
  <c r="B51" i="5"/>
  <c r="B93" i="5"/>
  <c r="B52" i="5"/>
  <c r="B31" i="5" l="1"/>
  <c r="B83" i="5"/>
  <c r="B62" i="5"/>
  <c r="U54" i="14" l="1"/>
  <c r="N53" i="14"/>
  <c r="M53" i="14"/>
  <c r="O51" i="14"/>
  <c r="N51" i="14" s="1"/>
  <c r="M51" i="14"/>
  <c r="O50" i="14"/>
  <c r="M50" i="14"/>
  <c r="M47" i="14"/>
  <c r="J47" i="14"/>
  <c r="O45" i="14"/>
  <c r="N45" i="14" s="1"/>
  <c r="O44" i="14"/>
  <c r="N44" i="14" s="1"/>
  <c r="O42" i="14"/>
  <c r="N42" i="14" s="1"/>
  <c r="O41" i="14"/>
  <c r="N41" i="14" s="1"/>
  <c r="O40" i="14"/>
  <c r="N40" i="14" s="1"/>
  <c r="O39" i="14"/>
  <c r="N39" i="14" s="1"/>
  <c r="O38" i="14"/>
  <c r="N38" i="14" s="1"/>
  <c r="O37" i="14"/>
  <c r="N37" i="14" s="1"/>
  <c r="O36" i="14"/>
  <c r="N36" i="14" s="1"/>
  <c r="O35" i="14"/>
  <c r="N35" i="14" s="1"/>
  <c r="E52" i="14"/>
  <c r="O33" i="14"/>
  <c r="N33" i="14" s="1"/>
  <c r="O32" i="14"/>
  <c r="N32" i="14" s="1"/>
  <c r="O31" i="14"/>
  <c r="N31" i="14" s="1"/>
  <c r="O30" i="14"/>
  <c r="C28" i="14"/>
  <c r="J28" i="14" s="1"/>
  <c r="M28" i="14" s="1"/>
  <c r="O27" i="14"/>
  <c r="N27" i="14" s="1"/>
  <c r="K27" i="14"/>
  <c r="E25" i="14"/>
  <c r="O26" i="14"/>
  <c r="K26" i="14"/>
  <c r="J26" i="14"/>
  <c r="M26" i="14" s="1"/>
  <c r="V25" i="14"/>
  <c r="T25" i="14"/>
  <c r="S25" i="14"/>
  <c r="R25" i="14"/>
  <c r="P25" i="14"/>
  <c r="L25" i="14"/>
  <c r="G25" i="14"/>
  <c r="F25" i="14"/>
  <c r="C24" i="14"/>
  <c r="J24" i="14" s="1"/>
  <c r="K23" i="14"/>
  <c r="O23" i="14" s="1"/>
  <c r="N23" i="14" s="1"/>
  <c r="C23" i="14"/>
  <c r="J23" i="14" s="1"/>
  <c r="K22" i="14"/>
  <c r="O22" i="14" s="1"/>
  <c r="N22" i="14" s="1"/>
  <c r="K21" i="14"/>
  <c r="O21" i="14" s="1"/>
  <c r="N21" i="14" s="1"/>
  <c r="G18" i="14"/>
  <c r="C21" i="14"/>
  <c r="J21" i="14" s="1"/>
  <c r="K20" i="14"/>
  <c r="O20" i="14" s="1"/>
  <c r="N20" i="14" s="1"/>
  <c r="C20" i="14"/>
  <c r="J20" i="14" s="1"/>
  <c r="R18" i="14"/>
  <c r="E18" i="14"/>
  <c r="D18" i="14"/>
  <c r="V18" i="14"/>
  <c r="S18" i="14"/>
  <c r="P18" i="14"/>
  <c r="L18" i="14"/>
  <c r="I18" i="14"/>
  <c r="H18" i="14"/>
  <c r="F18" i="14"/>
  <c r="N17" i="14"/>
  <c r="K17" i="14"/>
  <c r="C17" i="14"/>
  <c r="J17" i="14" s="1"/>
  <c r="M17" i="14" s="1"/>
  <c r="K16" i="14"/>
  <c r="O16" i="14" s="1"/>
  <c r="N16" i="14" s="1"/>
  <c r="C16" i="14"/>
  <c r="J16" i="14" s="1"/>
  <c r="M16" i="14" s="1"/>
  <c r="K15" i="14"/>
  <c r="O15" i="14" s="1"/>
  <c r="N15" i="14" s="1"/>
  <c r="C15" i="14"/>
  <c r="J15" i="14" s="1"/>
  <c r="M15" i="14" s="1"/>
  <c r="K14" i="14"/>
  <c r="O14" i="14" s="1"/>
  <c r="N14" i="14" s="1"/>
  <c r="C14" i="14"/>
  <c r="J14" i="14" s="1"/>
  <c r="M14" i="14" s="1"/>
  <c r="K13" i="14"/>
  <c r="O13" i="14" s="1"/>
  <c r="N13" i="14" s="1"/>
  <c r="J13" i="14"/>
  <c r="M13" i="14" s="1"/>
  <c r="K12" i="14"/>
  <c r="O12" i="14" s="1"/>
  <c r="N12" i="14" s="1"/>
  <c r="C12" i="14"/>
  <c r="J12" i="14" s="1"/>
  <c r="M12" i="14" s="1"/>
  <c r="K11" i="14"/>
  <c r="O11" i="14" s="1"/>
  <c r="C11" i="14"/>
  <c r="J11" i="14" s="1"/>
  <c r="M11" i="14" s="1"/>
  <c r="O10" i="14"/>
  <c r="E9" i="14"/>
  <c r="C10" i="14"/>
  <c r="V9" i="14"/>
  <c r="T9" i="14"/>
  <c r="S9" i="14"/>
  <c r="R9" i="14"/>
  <c r="R49" i="14" s="1"/>
  <c r="P9" i="14"/>
  <c r="L9" i="14"/>
  <c r="L7" i="14" s="1"/>
  <c r="I9" i="14"/>
  <c r="H9" i="14"/>
  <c r="G9" i="14"/>
  <c r="F9" i="14"/>
  <c r="J8" i="14"/>
  <c r="M8" i="14" s="1"/>
  <c r="S49" i="14" l="1"/>
  <c r="N10" i="14"/>
  <c r="O9" i="14"/>
  <c r="N30" i="14"/>
  <c r="O29" i="14"/>
  <c r="N11" i="14"/>
  <c r="N9" i="14" s="1"/>
  <c r="T7" i="14"/>
  <c r="P49" i="14"/>
  <c r="P7" i="14"/>
  <c r="K25" i="14"/>
  <c r="O25" i="14"/>
  <c r="N26" i="14"/>
  <c r="N25" i="14" s="1"/>
  <c r="F49" i="14"/>
  <c r="F52" i="14" s="1"/>
  <c r="F7" i="14"/>
  <c r="V49" i="14"/>
  <c r="V52" i="14" s="1"/>
  <c r="V54" i="14" s="1"/>
  <c r="V7" i="14"/>
  <c r="T49" i="14"/>
  <c r="S7" i="14"/>
  <c r="R7" i="14"/>
  <c r="I49" i="14"/>
  <c r="I52" i="14" s="1"/>
  <c r="H49" i="14"/>
  <c r="H52" i="14" s="1"/>
  <c r="G49" i="14"/>
  <c r="G52" i="14" s="1"/>
  <c r="G7" i="14"/>
  <c r="D49" i="14"/>
  <c r="D52" i="14" s="1"/>
  <c r="D7" i="14"/>
  <c r="C9" i="14"/>
  <c r="E7" i="14"/>
  <c r="K9" i="14"/>
  <c r="M10" i="14"/>
  <c r="K24" i="14"/>
  <c r="O24" i="14" s="1"/>
  <c r="N24" i="14" s="1"/>
  <c r="G46" i="14"/>
  <c r="L49" i="14"/>
  <c r="L52" i="14" s="1"/>
  <c r="H48" i="14"/>
  <c r="M48" i="14" s="1"/>
  <c r="H7" i="14"/>
  <c r="C19" i="14"/>
  <c r="C27" i="14"/>
  <c r="O34" i="14"/>
  <c r="N34" i="14" s="1"/>
  <c r="P50" i="14"/>
  <c r="N50" i="14" s="1"/>
  <c r="I7" i="14"/>
  <c r="I48" i="14"/>
  <c r="C22" i="14"/>
  <c r="J22" i="14" s="1"/>
  <c r="K19" i="14"/>
  <c r="C47" i="14"/>
  <c r="N29" i="14" l="1"/>
  <c r="R52" i="14"/>
  <c r="R54" i="14" s="1"/>
  <c r="R55" i="14" s="1"/>
  <c r="J48" i="14"/>
  <c r="O46" i="14"/>
  <c r="N46" i="14" s="1"/>
  <c r="J46" i="14"/>
  <c r="M46" i="14"/>
  <c r="P52" i="14"/>
  <c r="P54" i="14" s="1"/>
  <c r="C25" i="14"/>
  <c r="J27" i="14"/>
  <c r="O48" i="14"/>
  <c r="M9" i="14"/>
  <c r="J9" i="14"/>
  <c r="O19" i="14"/>
  <c r="K18" i="14"/>
  <c r="K49" i="14" s="1"/>
  <c r="K52" i="14" s="1"/>
  <c r="J19" i="14"/>
  <c r="C18" i="14"/>
  <c r="K7" i="14" l="1"/>
  <c r="C7" i="14"/>
  <c r="N19" i="14"/>
  <c r="N18" i="14" s="1"/>
  <c r="N7" i="14" s="1"/>
  <c r="O18" i="14"/>
  <c r="N48" i="14"/>
  <c r="C49" i="14"/>
  <c r="J25" i="14"/>
  <c r="M27" i="14"/>
  <c r="M25" i="14" s="1"/>
  <c r="M18" i="14"/>
  <c r="M49" i="14" s="1"/>
  <c r="J18" i="14"/>
  <c r="M52" i="14" l="1"/>
  <c r="J49" i="14"/>
  <c r="J52" i="14" s="1"/>
  <c r="N49" i="14"/>
  <c r="N52" i="14" s="1"/>
  <c r="O7" i="14"/>
  <c r="O49" i="14"/>
  <c r="O52" i="14" s="1"/>
  <c r="J7" i="14"/>
  <c r="M7" i="14" s="1"/>
  <c r="O54" i="14" l="1"/>
  <c r="O55" i="14" s="1"/>
  <c r="O56" i="14" s="1"/>
  <c r="B7" i="5" l="1"/>
  <c r="B129" i="5" l="1"/>
  <c r="B90" i="5" l="1"/>
  <c r="F10" i="6" l="1"/>
  <c r="G10" i="6"/>
  <c r="G182" i="6"/>
  <c r="G181" i="6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51" i="6"/>
  <c r="G150" i="6"/>
  <c r="G149" i="6"/>
  <c r="G148" i="6"/>
  <c r="G147" i="6"/>
  <c r="G146" i="6"/>
  <c r="G145" i="6"/>
  <c r="G144" i="6"/>
  <c r="G142" i="6"/>
  <c r="G139" i="6"/>
  <c r="G138" i="6"/>
  <c r="G137" i="6"/>
  <c r="G135" i="6"/>
  <c r="G134" i="6"/>
  <c r="G132" i="6"/>
  <c r="G130" i="6"/>
  <c r="G129" i="6"/>
  <c r="G128" i="6"/>
  <c r="G127" i="6"/>
  <c r="G126" i="6"/>
  <c r="G125" i="6"/>
  <c r="G124" i="6"/>
  <c r="G123" i="6"/>
  <c r="G121" i="6"/>
  <c r="G119" i="6"/>
  <c r="G118" i="6"/>
  <c r="G117" i="6"/>
  <c r="G116" i="6"/>
  <c r="G115" i="6"/>
  <c r="G114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6" i="6"/>
  <c r="G94" i="6"/>
  <c r="G92" i="6"/>
  <c r="G90" i="6"/>
  <c r="G89" i="6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67" i="6"/>
  <c r="G66" i="6"/>
  <c r="G64" i="6"/>
  <c r="G63" i="6"/>
  <c r="G62" i="6"/>
  <c r="G61" i="6"/>
  <c r="G59" i="6"/>
  <c r="G58" i="6"/>
  <c r="G57" i="6"/>
  <c r="G56" i="6"/>
  <c r="G55" i="6"/>
  <c r="G54" i="6"/>
  <c r="G51" i="6"/>
  <c r="G50" i="6"/>
  <c r="G49" i="6"/>
  <c r="G47" i="6"/>
  <c r="G45" i="6"/>
  <c r="G44" i="6"/>
  <c r="G43" i="6"/>
  <c r="G42" i="6"/>
  <c r="G41" i="6"/>
  <c r="G40" i="6"/>
  <c r="G38" i="6"/>
  <c r="G37" i="6"/>
  <c r="G35" i="6"/>
  <c r="G34" i="6"/>
  <c r="G33" i="6"/>
  <c r="G31" i="6"/>
  <c r="G30" i="6"/>
  <c r="G29" i="6"/>
  <c r="G28" i="6"/>
  <c r="G27" i="6"/>
  <c r="G26" i="6"/>
  <c r="G25" i="6"/>
  <c r="G24" i="6"/>
  <c r="G21" i="6"/>
  <c r="G20" i="6"/>
  <c r="G19" i="6"/>
  <c r="G18" i="6"/>
  <c r="G17" i="6"/>
  <c r="G16" i="6"/>
  <c r="G15" i="6"/>
  <c r="G13" i="6"/>
  <c r="G12" i="6"/>
  <c r="G11" i="6"/>
  <c r="F182" i="6"/>
  <c r="F181" i="6"/>
  <c r="F180" i="6"/>
  <c r="F178" i="6"/>
  <c r="F176" i="6"/>
  <c r="F175" i="6"/>
  <c r="F174" i="6"/>
  <c r="F172" i="6"/>
  <c r="F171" i="6"/>
  <c r="F170" i="6"/>
  <c r="F169" i="6"/>
  <c r="F168" i="6"/>
  <c r="F166" i="6"/>
  <c r="F164" i="6"/>
  <c r="F163" i="6"/>
  <c r="F161" i="6"/>
  <c r="F160" i="6"/>
  <c r="F159" i="6"/>
  <c r="F158" i="6"/>
  <c r="F156" i="6"/>
  <c r="F155" i="6"/>
  <c r="F154" i="6"/>
  <c r="F151" i="6"/>
  <c r="F149" i="6"/>
  <c r="F148" i="6"/>
  <c r="F146" i="6"/>
  <c r="F145" i="6"/>
  <c r="F144" i="6"/>
  <c r="F139" i="6"/>
  <c r="F137" i="6"/>
  <c r="F135" i="6"/>
  <c r="F134" i="6"/>
  <c r="F132" i="6"/>
  <c r="F130" i="6"/>
  <c r="F129" i="6"/>
  <c r="F128" i="6"/>
  <c r="F127" i="6"/>
  <c r="F125" i="6"/>
  <c r="F124" i="6"/>
  <c r="F123" i="6"/>
  <c r="F121" i="6"/>
  <c r="F119" i="6"/>
  <c r="F118" i="6"/>
  <c r="F117" i="6"/>
  <c r="F116" i="6"/>
  <c r="F115" i="6"/>
  <c r="F114" i="6"/>
  <c r="F112" i="6"/>
  <c r="F111" i="6"/>
  <c r="F109" i="6"/>
  <c r="F108" i="6"/>
  <c r="F105" i="6"/>
  <c r="F104" i="6"/>
  <c r="F103" i="6"/>
  <c r="F102" i="6"/>
  <c r="F101" i="6"/>
  <c r="F100" i="6"/>
  <c r="F99" i="6"/>
  <c r="F98" i="6"/>
  <c r="F96" i="6"/>
  <c r="F94" i="6"/>
  <c r="F92" i="6"/>
  <c r="F90" i="6"/>
  <c r="F89" i="6"/>
  <c r="F87" i="6"/>
  <c r="F86" i="6"/>
  <c r="F84" i="6"/>
  <c r="F83" i="6"/>
  <c r="F82" i="6"/>
  <c r="F81" i="6"/>
  <c r="F80" i="6"/>
  <c r="F78" i="6"/>
  <c r="F75" i="6"/>
  <c r="F74" i="6"/>
  <c r="F73" i="6"/>
  <c r="F71" i="6"/>
  <c r="F70" i="6"/>
  <c r="F67" i="6"/>
  <c r="F66" i="6"/>
  <c r="F64" i="6"/>
  <c r="F63" i="6"/>
  <c r="F62" i="6"/>
  <c r="F61" i="6"/>
  <c r="F59" i="6"/>
  <c r="F58" i="6"/>
  <c r="F57" i="6"/>
  <c r="F56" i="6"/>
  <c r="F55" i="6"/>
  <c r="F51" i="6"/>
  <c r="F50" i="6"/>
  <c r="F49" i="6"/>
  <c r="F47" i="6"/>
  <c r="F45" i="6"/>
  <c r="F44" i="6"/>
  <c r="F43" i="6"/>
  <c r="F42" i="6"/>
  <c r="F41" i="6"/>
  <c r="F40" i="6"/>
  <c r="F38" i="6"/>
  <c r="F35" i="6"/>
  <c r="F34" i="6"/>
  <c r="F33" i="6"/>
  <c r="F31" i="6"/>
  <c r="F30" i="6"/>
  <c r="F29" i="6"/>
  <c r="F28" i="6"/>
  <c r="F27" i="6"/>
  <c r="F26" i="6"/>
  <c r="F25" i="6"/>
  <c r="F24" i="6"/>
  <c r="F21" i="6"/>
  <c r="F20" i="6"/>
  <c r="F19" i="6"/>
  <c r="F18" i="6"/>
  <c r="F16" i="6"/>
  <c r="F15" i="6"/>
  <c r="F13" i="6"/>
  <c r="F12" i="6"/>
  <c r="F11" i="6"/>
  <c r="G9" i="6" l="1"/>
  <c r="F9" i="6"/>
  <c r="E181" i="6" l="1"/>
  <c r="E164" i="6"/>
  <c r="E160" i="6"/>
  <c r="E155" i="6"/>
  <c r="E151" i="6"/>
  <c r="E145" i="6"/>
  <c r="E119" i="6"/>
  <c r="E117" i="6"/>
  <c r="E115" i="6"/>
  <c r="E114" i="6"/>
  <c r="E105" i="6"/>
  <c r="E104" i="6"/>
  <c r="E103" i="6"/>
  <c r="E102" i="6"/>
  <c r="E101" i="6"/>
  <c r="E100" i="6"/>
  <c r="E99" i="6"/>
  <c r="E98" i="6"/>
  <c r="E94" i="6"/>
  <c r="E90" i="6"/>
  <c r="E89" i="6"/>
  <c r="E86" i="6"/>
  <c r="E80" i="6"/>
  <c r="E79" i="6"/>
  <c r="E78" i="6"/>
  <c r="E74" i="6"/>
  <c r="E73" i="6"/>
  <c r="E64" i="6"/>
  <c r="E61" i="6"/>
  <c r="E51" i="6"/>
  <c r="E50" i="6"/>
  <c r="E45" i="6"/>
  <c r="E33" i="6"/>
  <c r="E29" i="6"/>
  <c r="E28" i="6"/>
  <c r="E27" i="6"/>
  <c r="E21" i="6"/>
  <c r="E19" i="6"/>
  <c r="E17" i="6"/>
  <c r="E16" i="6"/>
  <c r="E13" i="6"/>
  <c r="D181" i="6" l="1"/>
  <c r="F179" i="6"/>
  <c r="D164" i="6"/>
  <c r="D160" i="6"/>
  <c r="D155" i="6"/>
  <c r="F173" i="6"/>
  <c r="G173" i="6"/>
  <c r="F167" i="6"/>
  <c r="G167" i="6"/>
  <c r="G162" i="6"/>
  <c r="F157" i="6"/>
  <c r="G157" i="6"/>
  <c r="F153" i="6"/>
  <c r="G153" i="6"/>
  <c r="D145" i="6"/>
  <c r="D151" i="6"/>
  <c r="G122" i="6"/>
  <c r="G120" i="6" s="1"/>
  <c r="D115" i="6"/>
  <c r="D117" i="6"/>
  <c r="D119" i="6"/>
  <c r="D114" i="6"/>
  <c r="D99" i="6"/>
  <c r="D100" i="6"/>
  <c r="D101" i="6"/>
  <c r="D102" i="6"/>
  <c r="D103" i="6"/>
  <c r="D104" i="6"/>
  <c r="D105" i="6"/>
  <c r="D98" i="6"/>
  <c r="E113" i="6"/>
  <c r="F113" i="6"/>
  <c r="G113" i="6"/>
  <c r="G106" i="6"/>
  <c r="E97" i="6"/>
  <c r="F97" i="6"/>
  <c r="G97" i="6"/>
  <c r="D94" i="6"/>
  <c r="D93" i="6" s="1"/>
  <c r="E93" i="6"/>
  <c r="F93" i="6"/>
  <c r="F91" i="6" s="1"/>
  <c r="G93" i="6"/>
  <c r="G91" i="6" s="1"/>
  <c r="D90" i="6"/>
  <c r="D89" i="6"/>
  <c r="D86" i="6"/>
  <c r="D80" i="6"/>
  <c r="D78" i="6"/>
  <c r="E88" i="6"/>
  <c r="F88" i="6"/>
  <c r="G88" i="6"/>
  <c r="F85" i="6"/>
  <c r="G85" i="6"/>
  <c r="G77" i="6"/>
  <c r="D74" i="6"/>
  <c r="D73" i="6"/>
  <c r="E72" i="6"/>
  <c r="F72" i="6"/>
  <c r="G72" i="6"/>
  <c r="F69" i="6"/>
  <c r="G69" i="6"/>
  <c r="D64" i="6"/>
  <c r="D61" i="6"/>
  <c r="F65" i="6"/>
  <c r="G65" i="6"/>
  <c r="F60" i="6"/>
  <c r="G60" i="6"/>
  <c r="G53" i="6"/>
  <c r="D50" i="6"/>
  <c r="D51" i="6"/>
  <c r="F48" i="6"/>
  <c r="F46" i="6" s="1"/>
  <c r="G48" i="6"/>
  <c r="G46" i="6" s="1"/>
  <c r="D45" i="6"/>
  <c r="F39" i="6"/>
  <c r="G39" i="6"/>
  <c r="G36" i="6" s="1"/>
  <c r="D33" i="6"/>
  <c r="D27" i="6"/>
  <c r="D28" i="6"/>
  <c r="D29" i="6"/>
  <c r="F32" i="6"/>
  <c r="G32" i="6"/>
  <c r="F23" i="6"/>
  <c r="G23" i="6"/>
  <c r="D16" i="6"/>
  <c r="D19" i="6"/>
  <c r="D21" i="6"/>
  <c r="D13" i="6"/>
  <c r="G14" i="6"/>
  <c r="G8" i="6" s="1"/>
  <c r="G68" i="6" l="1"/>
  <c r="G95" i="6"/>
  <c r="G76" i="6"/>
  <c r="G152" i="6"/>
  <c r="G22" i="6"/>
  <c r="D113" i="6"/>
  <c r="D88" i="6"/>
  <c r="D72" i="6"/>
  <c r="F68" i="6"/>
  <c r="F22" i="6"/>
  <c r="G52" i="6"/>
  <c r="D97" i="6"/>
  <c r="B126" i="5" l="1"/>
  <c r="B111" i="5"/>
  <c r="B107" i="5"/>
  <c r="B63" i="5"/>
  <c r="B54" i="5"/>
  <c r="B9" i="5"/>
  <c r="B5" i="5"/>
  <c r="B17" i="5" l="1"/>
  <c r="B12" i="7"/>
  <c r="B32" i="7"/>
  <c r="B31" i="7"/>
  <c r="B106" i="5"/>
  <c r="B8" i="7" s="1"/>
  <c r="B4" i="5"/>
  <c r="B30" i="7" s="1"/>
  <c r="B40" i="7" l="1"/>
  <c r="B3" i="5"/>
  <c r="B135" i="5" l="1"/>
  <c r="B4" i="7"/>
  <c r="B21" i="7" l="1"/>
  <c r="B16" i="7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146" i="6" l="1"/>
  <c r="D146" i="6" s="1"/>
  <c r="E84" i="6" l="1"/>
  <c r="D84" i="6" s="1"/>
  <c r="F107" i="6" l="1"/>
  <c r="F165" i="6" l="1"/>
  <c r="F162" i="6" s="1"/>
  <c r="F152" i="6" s="1"/>
  <c r="E132" i="6"/>
  <c r="E87" i="6"/>
  <c r="D132" i="6" l="1"/>
  <c r="D87" i="6"/>
  <c r="D85" i="6" s="1"/>
  <c r="E85" i="6"/>
  <c r="E44" i="6" l="1"/>
  <c r="D44" i="6" s="1"/>
  <c r="E43" i="6"/>
  <c r="D43" i="6" s="1"/>
  <c r="E41" i="6"/>
  <c r="D41" i="6" s="1"/>
  <c r="E40" i="6"/>
  <c r="F37" i="6"/>
  <c r="F36" i="6" s="1"/>
  <c r="E35" i="6"/>
  <c r="D35" i="6" s="1"/>
  <c r="D40" i="6" l="1"/>
  <c r="E83" i="6" l="1"/>
  <c r="D83" i="6" s="1"/>
  <c r="E75" i="6"/>
  <c r="D75" i="6" s="1"/>
  <c r="E67" i="6"/>
  <c r="D67" i="6" l="1"/>
  <c r="E172" i="6" l="1"/>
  <c r="D172" i="6" s="1"/>
  <c r="F147" i="6"/>
  <c r="F143" i="6"/>
  <c r="G143" i="6"/>
  <c r="G141" i="6" s="1"/>
  <c r="G140" i="6" s="1"/>
  <c r="G180" i="6" l="1"/>
  <c r="G179" i="6" s="1"/>
  <c r="E144" i="6"/>
  <c r="D144" i="6" s="1"/>
  <c r="E121" i="6"/>
  <c r="D121" i="6" l="1"/>
  <c r="E47" i="6" l="1"/>
  <c r="E42" i="6"/>
  <c r="E38" i="6"/>
  <c r="D38" i="6" s="1"/>
  <c r="E37" i="6"/>
  <c r="E34" i="6"/>
  <c r="E31" i="6"/>
  <c r="D31" i="6" s="1"/>
  <c r="E30" i="6"/>
  <c r="D30" i="6" s="1"/>
  <c r="E26" i="6"/>
  <c r="D26" i="6" s="1"/>
  <c r="E25" i="6"/>
  <c r="D25" i="6" s="1"/>
  <c r="E24" i="6"/>
  <c r="E20" i="6"/>
  <c r="D20" i="6" s="1"/>
  <c r="E18" i="6"/>
  <c r="D18" i="6" s="1"/>
  <c r="F17" i="6"/>
  <c r="E15" i="6"/>
  <c r="E12" i="6"/>
  <c r="D12" i="6" s="1"/>
  <c r="E11" i="6"/>
  <c r="D11" i="6" s="1"/>
  <c r="E10" i="6"/>
  <c r="D10" i="6" l="1"/>
  <c r="D9" i="6" s="1"/>
  <c r="E9" i="6"/>
  <c r="D47" i="6"/>
  <c r="D42" i="6"/>
  <c r="D39" i="6" s="1"/>
  <c r="E39" i="6"/>
  <c r="E36" i="6" s="1"/>
  <c r="D37" i="6"/>
  <c r="E32" i="6"/>
  <c r="D34" i="6"/>
  <c r="D32" i="6" s="1"/>
  <c r="D24" i="6"/>
  <c r="D23" i="6" s="1"/>
  <c r="E23" i="6"/>
  <c r="D17" i="6"/>
  <c r="F14" i="6"/>
  <c r="F8" i="6" s="1"/>
  <c r="E14" i="6"/>
  <c r="D15" i="6"/>
  <c r="D14" i="6" l="1"/>
  <c r="D8" i="6" s="1"/>
  <c r="E22" i="6"/>
  <c r="D22" i="6"/>
  <c r="E8" i="6"/>
  <c r="D36" i="6"/>
  <c r="E49" i="6" l="1"/>
  <c r="E48" i="6" l="1"/>
  <c r="E46" i="6" s="1"/>
  <c r="D49" i="6"/>
  <c r="D48" i="6" s="1"/>
  <c r="D46" i="6" s="1"/>
  <c r="E143" i="6" l="1"/>
  <c r="D143" i="6" s="1"/>
  <c r="E110" i="6" l="1"/>
  <c r="E182" i="6" l="1"/>
  <c r="D182" i="6" s="1"/>
  <c r="E180" i="6"/>
  <c r="E178" i="6"/>
  <c r="G178" i="6"/>
  <c r="E176" i="6"/>
  <c r="D176" i="6" s="1"/>
  <c r="E175" i="6"/>
  <c r="D175" i="6" s="1"/>
  <c r="E174" i="6"/>
  <c r="E171" i="6"/>
  <c r="D171" i="6" s="1"/>
  <c r="E170" i="6"/>
  <c r="D170" i="6" s="1"/>
  <c r="E169" i="6"/>
  <c r="D169" i="6" s="1"/>
  <c r="E168" i="6"/>
  <c r="E166" i="6"/>
  <c r="D166" i="6" s="1"/>
  <c r="E165" i="6"/>
  <c r="D165" i="6" s="1"/>
  <c r="E163" i="6"/>
  <c r="E161" i="6"/>
  <c r="D161" i="6" s="1"/>
  <c r="E159" i="6"/>
  <c r="D159" i="6" s="1"/>
  <c r="E158" i="6"/>
  <c r="E156" i="6"/>
  <c r="D156" i="6" s="1"/>
  <c r="E154" i="6"/>
  <c r="E150" i="6"/>
  <c r="F150" i="6"/>
  <c r="E149" i="6"/>
  <c r="D149" i="6" s="1"/>
  <c r="E148" i="6"/>
  <c r="D148" i="6" s="1"/>
  <c r="E147" i="6"/>
  <c r="D147" i="6" s="1"/>
  <c r="E142" i="6"/>
  <c r="F142" i="6"/>
  <c r="F141" i="6" s="1"/>
  <c r="E139" i="6"/>
  <c r="D139" i="6" s="1"/>
  <c r="E138" i="6"/>
  <c r="F138" i="6"/>
  <c r="E137" i="6"/>
  <c r="D137" i="6" s="1"/>
  <c r="E136" i="6"/>
  <c r="F136" i="6"/>
  <c r="F133" i="6" s="1"/>
  <c r="G136" i="6"/>
  <c r="G133" i="6" s="1"/>
  <c r="G131" i="6" s="1"/>
  <c r="E135" i="6"/>
  <c r="D135" i="6" s="1"/>
  <c r="E134" i="6"/>
  <c r="E130" i="6"/>
  <c r="D130" i="6" s="1"/>
  <c r="E129" i="6"/>
  <c r="D129" i="6" s="1"/>
  <c r="E128" i="6"/>
  <c r="D128" i="6" s="1"/>
  <c r="E127" i="6"/>
  <c r="D127" i="6" s="1"/>
  <c r="E126" i="6"/>
  <c r="F126" i="6"/>
  <c r="F122" i="6" s="1"/>
  <c r="F120" i="6" s="1"/>
  <c r="E125" i="6"/>
  <c r="D125" i="6" s="1"/>
  <c r="E124" i="6"/>
  <c r="D124" i="6" s="1"/>
  <c r="E123" i="6"/>
  <c r="E118" i="6"/>
  <c r="D118" i="6" s="1"/>
  <c r="E116" i="6"/>
  <c r="D116" i="6" s="1"/>
  <c r="E112" i="6"/>
  <c r="D112" i="6" s="1"/>
  <c r="E111" i="6"/>
  <c r="D111" i="6" s="1"/>
  <c r="F110" i="6"/>
  <c r="E109" i="6"/>
  <c r="D109" i="6" s="1"/>
  <c r="E108" i="6"/>
  <c r="D108" i="6" s="1"/>
  <c r="E107" i="6"/>
  <c r="E96" i="6"/>
  <c r="E82" i="6"/>
  <c r="D82" i="6" s="1"/>
  <c r="E81" i="6"/>
  <c r="F79" i="6"/>
  <c r="E71" i="6"/>
  <c r="D71" i="6" s="1"/>
  <c r="E70" i="6"/>
  <c r="E66" i="6"/>
  <c r="E63" i="6"/>
  <c r="D63" i="6" s="1"/>
  <c r="E62" i="6"/>
  <c r="E59" i="6"/>
  <c r="D59" i="6" s="1"/>
  <c r="E58" i="6"/>
  <c r="D58" i="6" s="1"/>
  <c r="E57" i="6"/>
  <c r="D57" i="6" s="1"/>
  <c r="E56" i="6"/>
  <c r="D56" i="6" s="1"/>
  <c r="E55" i="6"/>
  <c r="D55" i="6" s="1"/>
  <c r="E54" i="6"/>
  <c r="F54" i="6"/>
  <c r="F53" i="6" s="1"/>
  <c r="F52" i="6" s="1"/>
  <c r="F140" i="6" l="1"/>
  <c r="F131" i="6"/>
  <c r="E179" i="6"/>
  <c r="D180" i="6"/>
  <c r="D179" i="6" s="1"/>
  <c r="G6" i="6"/>
  <c r="B13" i="7" s="1"/>
  <c r="D178" i="6"/>
  <c r="E173" i="6"/>
  <c r="D174" i="6"/>
  <c r="D173" i="6" s="1"/>
  <c r="E167" i="6"/>
  <c r="D168" i="6"/>
  <c r="D167" i="6" s="1"/>
  <c r="D163" i="6"/>
  <c r="D162" i="6" s="1"/>
  <c r="E162" i="6"/>
  <c r="D158" i="6"/>
  <c r="D157" i="6" s="1"/>
  <c r="E157" i="6"/>
  <c r="D154" i="6"/>
  <c r="D153" i="6" s="1"/>
  <c r="E153" i="6"/>
  <c r="D150" i="6"/>
  <c r="E141" i="6"/>
  <c r="E140" i="6" s="1"/>
  <c r="D142" i="6"/>
  <c r="D141" i="6" s="1"/>
  <c r="D138" i="6"/>
  <c r="D136" i="6"/>
  <c r="D134" i="6"/>
  <c r="E133" i="6"/>
  <c r="E131" i="6" s="1"/>
  <c r="D126" i="6"/>
  <c r="D123" i="6"/>
  <c r="E122" i="6"/>
  <c r="E120" i="6" s="1"/>
  <c r="E106" i="6"/>
  <c r="E95" i="6" s="1"/>
  <c r="D107" i="6"/>
  <c r="F106" i="6"/>
  <c r="F95" i="6" s="1"/>
  <c r="D110" i="6"/>
  <c r="D96" i="6"/>
  <c r="E92" i="6"/>
  <c r="D81" i="6"/>
  <c r="E77" i="6"/>
  <c r="E76" i="6" s="1"/>
  <c r="D79" i="6"/>
  <c r="D77" i="6" s="1"/>
  <c r="D76" i="6" s="1"/>
  <c r="F77" i="6"/>
  <c r="F76" i="6" s="1"/>
  <c r="D70" i="6"/>
  <c r="D69" i="6" s="1"/>
  <c r="D68" i="6" s="1"/>
  <c r="E69" i="6"/>
  <c r="E68" i="6" s="1"/>
  <c r="D66" i="6"/>
  <c r="D65" i="6" s="1"/>
  <c r="E65" i="6"/>
  <c r="E60" i="6"/>
  <c r="D62" i="6"/>
  <c r="D60" i="6" s="1"/>
  <c r="E53" i="6"/>
  <c r="D54" i="6"/>
  <c r="D53" i="6" s="1"/>
  <c r="D140" i="6" l="1"/>
  <c r="D133" i="6"/>
  <c r="D131" i="6" s="1"/>
  <c r="F6" i="6"/>
  <c r="B9" i="7" s="1"/>
  <c r="B36" i="7" s="1"/>
  <c r="D52" i="6"/>
  <c r="D152" i="6"/>
  <c r="E52" i="6"/>
  <c r="D106" i="6"/>
  <c r="D95" i="6" s="1"/>
  <c r="D122" i="6"/>
  <c r="D120" i="6" s="1"/>
  <c r="B37" i="7"/>
  <c r="B14" i="7"/>
  <c r="E152" i="6"/>
  <c r="D92" i="6"/>
  <c r="D91" i="6" s="1"/>
  <c r="E91" i="6"/>
  <c r="B10" i="7" l="1"/>
  <c r="E6" i="6"/>
  <c r="B5" i="7" s="1"/>
  <c r="B17" i="7" s="1"/>
  <c r="D6" i="6"/>
  <c r="B35" i="7" l="1"/>
  <c r="B41" i="7" s="1"/>
  <c r="B42" i="7" s="1"/>
  <c r="B22" i="7"/>
  <c r="B18" i="7"/>
  <c r="B6" i="7"/>
  <c r="B23" i="7" l="1"/>
  <c r="I99" i="6" l="1"/>
  <c r="I119" i="6"/>
  <c r="H119" i="6" s="1"/>
  <c r="I97" i="6" l="1"/>
  <c r="J117" i="6"/>
  <c r="H117" i="6" s="1"/>
  <c r="I43" i="6" l="1"/>
  <c r="J99" i="6" l="1"/>
  <c r="J97" i="6" l="1"/>
  <c r="H99" i="6"/>
  <c r="H97" i="6" s="1"/>
  <c r="I177" i="6" l="1"/>
  <c r="K177" i="6" l="1"/>
  <c r="J177" i="6"/>
  <c r="H177" i="6" l="1"/>
  <c r="I180" i="6"/>
  <c r="J180" i="6"/>
  <c r="K180" i="6"/>
  <c r="I182" i="6"/>
  <c r="K182" i="6"/>
  <c r="I178" i="6"/>
  <c r="J178" i="6"/>
  <c r="K178" i="6"/>
  <c r="I176" i="6"/>
  <c r="K176" i="6"/>
  <c r="I175" i="6"/>
  <c r="J175" i="6"/>
  <c r="K175" i="6"/>
  <c r="I174" i="6"/>
  <c r="J174" i="6"/>
  <c r="J173" i="6" s="1"/>
  <c r="K174" i="6"/>
  <c r="K173" i="6" s="1"/>
  <c r="I172" i="6"/>
  <c r="J172" i="6"/>
  <c r="K172" i="6"/>
  <c r="I171" i="6"/>
  <c r="J171" i="6"/>
  <c r="K171" i="6"/>
  <c r="I170" i="6"/>
  <c r="J170" i="6"/>
  <c r="K170" i="6"/>
  <c r="I169" i="6"/>
  <c r="J169" i="6"/>
  <c r="K169" i="6"/>
  <c r="I168" i="6"/>
  <c r="J168" i="6"/>
  <c r="J167" i="6" s="1"/>
  <c r="K168" i="6"/>
  <c r="I166" i="6"/>
  <c r="J166" i="6"/>
  <c r="K166" i="6"/>
  <c r="I165" i="6"/>
  <c r="J165" i="6"/>
  <c r="K165" i="6"/>
  <c r="I164" i="6"/>
  <c r="J164" i="6"/>
  <c r="K164" i="6"/>
  <c r="I163" i="6"/>
  <c r="J163" i="6"/>
  <c r="K163" i="6"/>
  <c r="I161" i="6"/>
  <c r="J161" i="6"/>
  <c r="K161" i="6"/>
  <c r="I160" i="6"/>
  <c r="J160" i="6"/>
  <c r="K160" i="6"/>
  <c r="I159" i="6"/>
  <c r="J159" i="6"/>
  <c r="K159" i="6"/>
  <c r="K158" i="6"/>
  <c r="I158" i="6"/>
  <c r="J158" i="6"/>
  <c r="I156" i="6"/>
  <c r="J156" i="6"/>
  <c r="K156" i="6"/>
  <c r="I154" i="6"/>
  <c r="J154" i="6"/>
  <c r="K154" i="6"/>
  <c r="I151" i="6"/>
  <c r="J151" i="6"/>
  <c r="K151" i="6"/>
  <c r="I150" i="6"/>
  <c r="J150" i="6"/>
  <c r="K150" i="6"/>
  <c r="I149" i="6"/>
  <c r="J149" i="6"/>
  <c r="K149" i="6"/>
  <c r="I148" i="6"/>
  <c r="J148" i="6"/>
  <c r="K148" i="6"/>
  <c r="I147" i="6"/>
  <c r="J147" i="6"/>
  <c r="K147" i="6"/>
  <c r="I146" i="6"/>
  <c r="J146" i="6"/>
  <c r="K146" i="6"/>
  <c r="I145" i="6"/>
  <c r="J145" i="6"/>
  <c r="K145" i="6"/>
  <c r="I144" i="6"/>
  <c r="J144" i="6"/>
  <c r="K144" i="6"/>
  <c r="I143" i="6"/>
  <c r="J143" i="6"/>
  <c r="K143" i="6"/>
  <c r="I142" i="6"/>
  <c r="J142" i="6"/>
  <c r="I139" i="6"/>
  <c r="J139" i="6"/>
  <c r="K139" i="6"/>
  <c r="I138" i="6"/>
  <c r="J138" i="6"/>
  <c r="K138" i="6"/>
  <c r="I137" i="6"/>
  <c r="J137" i="6"/>
  <c r="K137" i="6"/>
  <c r="I136" i="6"/>
  <c r="J136" i="6"/>
  <c r="K136" i="6"/>
  <c r="I135" i="6"/>
  <c r="J135" i="6"/>
  <c r="K135" i="6"/>
  <c r="I134" i="6"/>
  <c r="J134" i="6"/>
  <c r="K134" i="6"/>
  <c r="I132" i="6"/>
  <c r="J132" i="6"/>
  <c r="K132" i="6"/>
  <c r="I130" i="6"/>
  <c r="J130" i="6"/>
  <c r="K130" i="6"/>
  <c r="I129" i="6"/>
  <c r="J129" i="6"/>
  <c r="K129" i="6"/>
  <c r="I128" i="6"/>
  <c r="J128" i="6"/>
  <c r="K128" i="6"/>
  <c r="I127" i="6"/>
  <c r="J127" i="6"/>
  <c r="K127" i="6"/>
  <c r="I126" i="6"/>
  <c r="J126" i="6"/>
  <c r="K126" i="6"/>
  <c r="I125" i="6"/>
  <c r="J125" i="6"/>
  <c r="K125" i="6"/>
  <c r="I124" i="6"/>
  <c r="J124" i="6"/>
  <c r="K124" i="6"/>
  <c r="K123" i="6"/>
  <c r="I123" i="6"/>
  <c r="J123" i="6"/>
  <c r="I121" i="6"/>
  <c r="J121" i="6"/>
  <c r="K121" i="6"/>
  <c r="I118" i="6"/>
  <c r="J118" i="6"/>
  <c r="K118" i="6"/>
  <c r="I116" i="6"/>
  <c r="J116" i="6"/>
  <c r="K116" i="6"/>
  <c r="I112" i="6"/>
  <c r="J112" i="6"/>
  <c r="K112" i="6"/>
  <c r="I111" i="6"/>
  <c r="J111" i="6"/>
  <c r="K111" i="6"/>
  <c r="I110" i="6"/>
  <c r="J110" i="6"/>
  <c r="K110" i="6"/>
  <c r="I109" i="6"/>
  <c r="J109" i="6"/>
  <c r="K109" i="6"/>
  <c r="I108" i="6"/>
  <c r="J108" i="6"/>
  <c r="K108" i="6"/>
  <c r="I107" i="6"/>
  <c r="J107" i="6"/>
  <c r="K107" i="6"/>
  <c r="I96" i="6"/>
  <c r="J96" i="6"/>
  <c r="K96" i="6"/>
  <c r="I94" i="6"/>
  <c r="J94" i="6"/>
  <c r="J93" i="6" s="1"/>
  <c r="K94" i="6"/>
  <c r="K93" i="6" s="1"/>
  <c r="I92" i="6"/>
  <c r="J92" i="6"/>
  <c r="K92" i="6"/>
  <c r="I90" i="6"/>
  <c r="J90" i="6"/>
  <c r="K90" i="6"/>
  <c r="I89" i="6"/>
  <c r="J89" i="6"/>
  <c r="K89" i="6"/>
  <c r="I87" i="6"/>
  <c r="J87" i="6"/>
  <c r="K87" i="6"/>
  <c r="I86" i="6"/>
  <c r="J86" i="6"/>
  <c r="K86" i="6"/>
  <c r="I84" i="6"/>
  <c r="J84" i="6"/>
  <c r="K84" i="6"/>
  <c r="I83" i="6"/>
  <c r="J83" i="6"/>
  <c r="K83" i="6"/>
  <c r="I82" i="6"/>
  <c r="J82" i="6"/>
  <c r="K82" i="6"/>
  <c r="I81" i="6"/>
  <c r="J81" i="6"/>
  <c r="K81" i="6"/>
  <c r="I80" i="6"/>
  <c r="J80" i="6"/>
  <c r="K80" i="6"/>
  <c r="I79" i="6"/>
  <c r="J79" i="6"/>
  <c r="K79" i="6"/>
  <c r="I78" i="6"/>
  <c r="J78" i="6"/>
  <c r="K78" i="6"/>
  <c r="I75" i="6"/>
  <c r="J75" i="6"/>
  <c r="K75" i="6"/>
  <c r="I74" i="6"/>
  <c r="J74" i="6"/>
  <c r="K74" i="6"/>
  <c r="I73" i="6"/>
  <c r="J73" i="6"/>
  <c r="K73" i="6"/>
  <c r="K72" i="6" s="1"/>
  <c r="I71" i="6"/>
  <c r="J71" i="6"/>
  <c r="K71" i="6"/>
  <c r="I70" i="6"/>
  <c r="J70" i="6"/>
  <c r="K70" i="6"/>
  <c r="I67" i="6"/>
  <c r="J67" i="6"/>
  <c r="K67" i="6"/>
  <c r="I66" i="6"/>
  <c r="J66" i="6"/>
  <c r="K66" i="6"/>
  <c r="K65" i="6" s="1"/>
  <c r="I64" i="6"/>
  <c r="J64" i="6"/>
  <c r="K64" i="6"/>
  <c r="I63" i="6"/>
  <c r="J63" i="6"/>
  <c r="K63" i="6"/>
  <c r="I62" i="6"/>
  <c r="J62" i="6"/>
  <c r="K62" i="6"/>
  <c r="I61" i="6"/>
  <c r="J61" i="6"/>
  <c r="K61" i="6"/>
  <c r="I59" i="6"/>
  <c r="J59" i="6"/>
  <c r="K59" i="6"/>
  <c r="I58" i="6"/>
  <c r="J58" i="6"/>
  <c r="K58" i="6"/>
  <c r="I57" i="6"/>
  <c r="J57" i="6"/>
  <c r="K57" i="6"/>
  <c r="I56" i="6"/>
  <c r="J56" i="6"/>
  <c r="K56" i="6"/>
  <c r="I55" i="6"/>
  <c r="J55" i="6"/>
  <c r="K55" i="6"/>
  <c r="I54" i="6"/>
  <c r="J54" i="6"/>
  <c r="K54" i="6"/>
  <c r="I50" i="6"/>
  <c r="J50" i="6"/>
  <c r="K50" i="6"/>
  <c r="I49" i="6"/>
  <c r="J49" i="6"/>
  <c r="J48" i="6" s="1"/>
  <c r="K49" i="6"/>
  <c r="K48" i="6" s="1"/>
  <c r="I47" i="6"/>
  <c r="J47" i="6"/>
  <c r="K47" i="6"/>
  <c r="I45" i="6"/>
  <c r="J45" i="6"/>
  <c r="K45" i="6"/>
  <c r="I44" i="6"/>
  <c r="J44" i="6"/>
  <c r="K44" i="6"/>
  <c r="J43" i="6"/>
  <c r="K43" i="6"/>
  <c r="I42" i="6"/>
  <c r="J42" i="6"/>
  <c r="K42" i="6"/>
  <c r="I41" i="6"/>
  <c r="J41" i="6"/>
  <c r="K41" i="6"/>
  <c r="I40" i="6"/>
  <c r="J40" i="6"/>
  <c r="I38" i="6"/>
  <c r="J38" i="6"/>
  <c r="K38" i="6"/>
  <c r="I37" i="6"/>
  <c r="J37" i="6"/>
  <c r="K37" i="6"/>
  <c r="I35" i="6"/>
  <c r="J35" i="6"/>
  <c r="K35" i="6"/>
  <c r="I34" i="6"/>
  <c r="J34" i="6"/>
  <c r="K34" i="6"/>
  <c r="I33" i="6"/>
  <c r="J33" i="6"/>
  <c r="J32" i="6" s="1"/>
  <c r="K33" i="6"/>
  <c r="I31" i="6"/>
  <c r="J31" i="6"/>
  <c r="K31" i="6"/>
  <c r="I30" i="6"/>
  <c r="J30" i="6"/>
  <c r="K30" i="6"/>
  <c r="I29" i="6"/>
  <c r="J29" i="6"/>
  <c r="K29" i="6"/>
  <c r="I28" i="6"/>
  <c r="J28" i="6"/>
  <c r="K28" i="6"/>
  <c r="I27" i="6"/>
  <c r="J27" i="6"/>
  <c r="K27" i="6"/>
  <c r="I26" i="6"/>
  <c r="J26" i="6"/>
  <c r="K26" i="6"/>
  <c r="I25" i="6"/>
  <c r="J25" i="6"/>
  <c r="K25" i="6"/>
  <c r="I24" i="6"/>
  <c r="J24" i="6"/>
  <c r="K24" i="6"/>
  <c r="I21" i="6"/>
  <c r="J21" i="6"/>
  <c r="K21" i="6"/>
  <c r="I20" i="6"/>
  <c r="J20" i="6"/>
  <c r="K20" i="6"/>
  <c r="I19" i="6"/>
  <c r="J19" i="6"/>
  <c r="K19" i="6"/>
  <c r="I18" i="6"/>
  <c r="J18" i="6"/>
  <c r="K18" i="6"/>
  <c r="I17" i="6"/>
  <c r="J17" i="6"/>
  <c r="K17" i="6"/>
  <c r="I16" i="6"/>
  <c r="J16" i="6"/>
  <c r="K16" i="6"/>
  <c r="I15" i="6"/>
  <c r="J15" i="6"/>
  <c r="I13" i="6"/>
  <c r="J13" i="6"/>
  <c r="K13" i="6"/>
  <c r="I12" i="6"/>
  <c r="J12" i="6"/>
  <c r="K12" i="6"/>
  <c r="I11" i="6"/>
  <c r="J11" i="6"/>
  <c r="K11" i="6"/>
  <c r="I10" i="6"/>
  <c r="J10" i="6"/>
  <c r="K10" i="6"/>
  <c r="J65" i="6" l="1"/>
  <c r="H20" i="6"/>
  <c r="H29" i="6"/>
  <c r="H75" i="6"/>
  <c r="J88" i="6"/>
  <c r="H16" i="6"/>
  <c r="H145" i="6"/>
  <c r="H118" i="6"/>
  <c r="K133" i="6"/>
  <c r="H138" i="6"/>
  <c r="K88" i="6"/>
  <c r="H128" i="6"/>
  <c r="K32" i="6"/>
  <c r="H79" i="6"/>
  <c r="H83" i="6"/>
  <c r="H125" i="6"/>
  <c r="H129" i="6"/>
  <c r="H135" i="6"/>
  <c r="H139" i="6"/>
  <c r="H124" i="6"/>
  <c r="H84" i="6"/>
  <c r="J133" i="6"/>
  <c r="H13" i="6"/>
  <c r="H50" i="6"/>
  <c r="H57" i="6"/>
  <c r="H62" i="6"/>
  <c r="H67" i="6"/>
  <c r="H90" i="6"/>
  <c r="H111" i="6"/>
  <c r="K9" i="6"/>
  <c r="H34" i="6"/>
  <c r="H127" i="6"/>
  <c r="J23" i="6"/>
  <c r="J22" i="6" s="1"/>
  <c r="J14" i="6"/>
  <c r="J8" i="6" s="1"/>
  <c r="H18" i="6"/>
  <c r="H143" i="6"/>
  <c r="H159" i="6"/>
  <c r="H25" i="6"/>
  <c r="H12" i="6"/>
  <c r="H21" i="6"/>
  <c r="H31" i="6"/>
  <c r="H37" i="6"/>
  <c r="H42" i="6"/>
  <c r="K60" i="6"/>
  <c r="H64" i="6"/>
  <c r="H71" i="6"/>
  <c r="H82" i="6"/>
  <c r="H87" i="6"/>
  <c r="J46" i="6"/>
  <c r="J60" i="6"/>
  <c r="H121" i="6"/>
  <c r="H126" i="6"/>
  <c r="H130" i="6"/>
  <c r="H136" i="6"/>
  <c r="J9" i="6"/>
  <c r="K122" i="6"/>
  <c r="K120" i="6" s="1"/>
  <c r="J53" i="6"/>
  <c r="K69" i="6"/>
  <c r="K68" i="6" s="1"/>
  <c r="K85" i="6"/>
  <c r="J69" i="6"/>
  <c r="J85" i="6"/>
  <c r="K179" i="6"/>
  <c r="J182" i="6"/>
  <c r="H182" i="6" s="1"/>
  <c r="H180" i="6"/>
  <c r="I179" i="6"/>
  <c r="H178" i="6"/>
  <c r="J157" i="6"/>
  <c r="H164" i="6"/>
  <c r="H156" i="6"/>
  <c r="H161" i="6"/>
  <c r="H166" i="6"/>
  <c r="H171" i="6"/>
  <c r="K162" i="6"/>
  <c r="J162" i="6"/>
  <c r="K157" i="6"/>
  <c r="H169" i="6"/>
  <c r="K153" i="6"/>
  <c r="J153" i="6"/>
  <c r="J176" i="6"/>
  <c r="H176" i="6" s="1"/>
  <c r="H158" i="6"/>
  <c r="I157" i="6"/>
  <c r="H163" i="6"/>
  <c r="I162" i="6"/>
  <c r="I167" i="6"/>
  <c r="H168" i="6"/>
  <c r="H172" i="6"/>
  <c r="K167" i="6"/>
  <c r="H174" i="6"/>
  <c r="H173" i="6" s="1"/>
  <c r="I173" i="6"/>
  <c r="H154" i="6"/>
  <c r="I153" i="6"/>
  <c r="H160" i="6"/>
  <c r="H165" i="6"/>
  <c r="H170" i="6"/>
  <c r="H175" i="6"/>
  <c r="H149" i="6"/>
  <c r="H147" i="6"/>
  <c r="H151" i="6"/>
  <c r="H144" i="6"/>
  <c r="H148" i="6"/>
  <c r="K142" i="6"/>
  <c r="K141" i="6" s="1"/>
  <c r="K140" i="6" s="1"/>
  <c r="J141" i="6"/>
  <c r="J140" i="6" s="1"/>
  <c r="I141" i="6"/>
  <c r="I140" i="6" s="1"/>
  <c r="H146" i="6"/>
  <c r="H150" i="6"/>
  <c r="K131" i="6"/>
  <c r="J131" i="6"/>
  <c r="H132" i="6"/>
  <c r="H137" i="6"/>
  <c r="I133" i="6"/>
  <c r="I131" i="6" s="1"/>
  <c r="H134" i="6"/>
  <c r="I122" i="6"/>
  <c r="I120" i="6" s="1"/>
  <c r="H123" i="6"/>
  <c r="J122" i="6"/>
  <c r="J120" i="6" s="1"/>
  <c r="H116" i="6"/>
  <c r="J106" i="6"/>
  <c r="J95" i="6" s="1"/>
  <c r="H108" i="6"/>
  <c r="H112" i="6"/>
  <c r="H107" i="6"/>
  <c r="I106" i="6"/>
  <c r="I95" i="6" s="1"/>
  <c r="H96" i="6"/>
  <c r="H109" i="6"/>
  <c r="H110" i="6"/>
  <c r="K106" i="6"/>
  <c r="K95" i="6" s="1"/>
  <c r="J91" i="6"/>
  <c r="H94" i="6"/>
  <c r="H93" i="6" s="1"/>
  <c r="I93" i="6"/>
  <c r="I91" i="6" s="1"/>
  <c r="K91" i="6"/>
  <c r="H92" i="6"/>
  <c r="H81" i="6"/>
  <c r="H86" i="6"/>
  <c r="I85" i="6"/>
  <c r="K77" i="6"/>
  <c r="K76" i="6" s="1"/>
  <c r="J77" i="6"/>
  <c r="H78" i="6"/>
  <c r="I77" i="6"/>
  <c r="H89" i="6"/>
  <c r="I88" i="6"/>
  <c r="H80" i="6"/>
  <c r="H74" i="6"/>
  <c r="H70" i="6"/>
  <c r="I69" i="6"/>
  <c r="J72" i="6"/>
  <c r="I72" i="6"/>
  <c r="H73" i="6"/>
  <c r="H55" i="6"/>
  <c r="H59" i="6"/>
  <c r="H56" i="6"/>
  <c r="H61" i="6"/>
  <c r="I60" i="6"/>
  <c r="H66" i="6"/>
  <c r="I65" i="6"/>
  <c r="K53" i="6"/>
  <c r="I53" i="6"/>
  <c r="H54" i="6"/>
  <c r="H58" i="6"/>
  <c r="H63" i="6"/>
  <c r="K46" i="6"/>
  <c r="H47" i="6"/>
  <c r="I48" i="6"/>
  <c r="I46" i="6" s="1"/>
  <c r="H49" i="6"/>
  <c r="H43" i="6"/>
  <c r="H38" i="6"/>
  <c r="H45" i="6"/>
  <c r="H41" i="6"/>
  <c r="K40" i="6"/>
  <c r="K39" i="6" s="1"/>
  <c r="K36" i="6" s="1"/>
  <c r="I39" i="6"/>
  <c r="I36" i="6" s="1"/>
  <c r="J39" i="6"/>
  <c r="J36" i="6" s="1"/>
  <c r="H44" i="6"/>
  <c r="H30" i="6"/>
  <c r="H35" i="6"/>
  <c r="H26" i="6"/>
  <c r="H27" i="6"/>
  <c r="K23" i="6"/>
  <c r="H24" i="6"/>
  <c r="I23" i="6"/>
  <c r="H28" i="6"/>
  <c r="I32" i="6"/>
  <c r="H33" i="6"/>
  <c r="H32" i="6" s="1"/>
  <c r="K15" i="6"/>
  <c r="K14" i="6" s="1"/>
  <c r="K8" i="6" s="1"/>
  <c r="H10" i="6"/>
  <c r="I9" i="6"/>
  <c r="I14" i="6"/>
  <c r="H19" i="6"/>
  <c r="H11" i="6"/>
  <c r="H17" i="6"/>
  <c r="H85" i="6" l="1"/>
  <c r="J68" i="6"/>
  <c r="H69" i="6"/>
  <c r="H48" i="6"/>
  <c r="K22" i="6"/>
  <c r="H133" i="6"/>
  <c r="H131" i="6" s="1"/>
  <c r="J179" i="6"/>
  <c r="H65" i="6"/>
  <c r="H88" i="6"/>
  <c r="H122" i="6"/>
  <c r="H120" i="6" s="1"/>
  <c r="H91" i="6"/>
  <c r="H162" i="6"/>
  <c r="H15" i="6"/>
  <c r="H60" i="6"/>
  <c r="H179" i="6"/>
  <c r="K152" i="6"/>
  <c r="J52" i="6"/>
  <c r="H106" i="6"/>
  <c r="H95" i="6" s="1"/>
  <c r="K52" i="6"/>
  <c r="H153" i="6"/>
  <c r="J152" i="6"/>
  <c r="I52" i="6"/>
  <c r="H72" i="6"/>
  <c r="H68" i="6" s="1"/>
  <c r="J76" i="6"/>
  <c r="H9" i="6"/>
  <c r="H142" i="6"/>
  <c r="H141" i="6" s="1"/>
  <c r="H140" i="6" s="1"/>
  <c r="H167" i="6"/>
  <c r="I152" i="6"/>
  <c r="H157" i="6"/>
  <c r="I76" i="6"/>
  <c r="H77" i="6"/>
  <c r="I68" i="6"/>
  <c r="H53" i="6"/>
  <c r="H46" i="6"/>
  <c r="H40" i="6"/>
  <c r="H39" i="6" s="1"/>
  <c r="H36" i="6" s="1"/>
  <c r="H23" i="6"/>
  <c r="H22" i="6" s="1"/>
  <c r="I22" i="6"/>
  <c r="H14" i="6"/>
  <c r="H8" i="6" s="1"/>
  <c r="I8" i="6"/>
  <c r="H76" i="6" l="1"/>
  <c r="K6" i="6"/>
  <c r="C13" i="7" s="1"/>
  <c r="C14" i="7" s="1"/>
  <c r="H52" i="6"/>
  <c r="H152" i="6"/>
  <c r="H6" i="6" s="1"/>
  <c r="J6" i="6"/>
  <c r="C9" i="7" s="1"/>
  <c r="C10" i="7" s="1"/>
  <c r="I6" i="6"/>
  <c r="C5" i="7" s="1"/>
  <c r="C37" i="7" l="1"/>
  <c r="C36" i="7"/>
  <c r="C17" i="7"/>
  <c r="C18" i="7" s="1"/>
  <c r="C6" i="7"/>
  <c r="C35" i="7"/>
  <c r="C22" i="7"/>
  <c r="C23" i="7" s="1"/>
  <c r="C41" i="7" l="1"/>
  <c r="C42" i="7" s="1"/>
  <c r="N182" i="6" l="1"/>
  <c r="R182" i="6"/>
  <c r="O180" i="6"/>
  <c r="N178" i="6"/>
  <c r="O178" i="6"/>
  <c r="M177" i="6"/>
  <c r="L177" i="6" s="1"/>
  <c r="M176" i="6"/>
  <c r="L176" i="6" s="1"/>
  <c r="M175" i="6"/>
  <c r="L175" i="6" s="1"/>
  <c r="M171" i="6"/>
  <c r="L171" i="6" s="1"/>
  <c r="M170" i="6"/>
  <c r="L170" i="6" s="1"/>
  <c r="M169" i="6"/>
  <c r="L169" i="6" s="1"/>
  <c r="M168" i="6"/>
  <c r="M166" i="6"/>
  <c r="L166" i="6" s="1"/>
  <c r="M165" i="6"/>
  <c r="N165" i="6"/>
  <c r="N162" i="6" s="1"/>
  <c r="N152" i="6" s="1"/>
  <c r="M161" i="6"/>
  <c r="L161" i="6" s="1"/>
  <c r="M159" i="6"/>
  <c r="L159" i="6" s="1"/>
  <c r="M158" i="6"/>
  <c r="M156" i="6"/>
  <c r="L156" i="6" s="1"/>
  <c r="M89" i="6"/>
  <c r="M87" i="6"/>
  <c r="M84" i="6"/>
  <c r="N84" i="6"/>
  <c r="M83" i="6"/>
  <c r="L83" i="6" s="1"/>
  <c r="M80" i="6"/>
  <c r="N79" i="6"/>
  <c r="M49" i="6"/>
  <c r="M19" i="6"/>
  <c r="L19" i="6" s="1"/>
  <c r="M18" i="6"/>
  <c r="L18" i="6" s="1"/>
  <c r="M17" i="6"/>
  <c r="M16" i="6"/>
  <c r="L16" i="6" s="1"/>
  <c r="M13" i="6"/>
  <c r="L13" i="6" s="1"/>
  <c r="M12" i="6"/>
  <c r="L12" i="6" s="1"/>
  <c r="M11" i="6"/>
  <c r="L11" i="6" s="1"/>
  <c r="L165" i="6" l="1"/>
  <c r="L168" i="6"/>
  <c r="L167" i="6" s="1"/>
  <c r="M167" i="6"/>
  <c r="L158" i="6"/>
  <c r="L157" i="6" s="1"/>
  <c r="M157" i="6"/>
  <c r="M94" i="6"/>
  <c r="M88" i="6"/>
  <c r="L87" i="6"/>
  <c r="L85" i="6" s="1"/>
  <c r="M85" i="6"/>
  <c r="L84" i="6"/>
  <c r="L80" i="6"/>
  <c r="L79" i="6"/>
  <c r="N77" i="6"/>
  <c r="L49" i="6"/>
  <c r="L48" i="6" s="1"/>
  <c r="M48" i="6"/>
  <c r="M93" i="6" l="1"/>
  <c r="L94" i="6"/>
  <c r="L93" i="6" s="1"/>
  <c r="M151" i="6" l="1"/>
  <c r="N151" i="6"/>
  <c r="O151" i="6"/>
  <c r="Q151" i="6"/>
  <c r="R151" i="6"/>
  <c r="S151" i="6"/>
  <c r="N150" i="6"/>
  <c r="O150" i="6"/>
  <c r="R150" i="6"/>
  <c r="S150" i="6"/>
  <c r="N149" i="6"/>
  <c r="O149" i="6"/>
  <c r="R149" i="6"/>
  <c r="S149" i="6"/>
  <c r="N148" i="6"/>
  <c r="O148" i="6"/>
  <c r="R148" i="6"/>
  <c r="S148" i="6"/>
  <c r="N147" i="6"/>
  <c r="O147" i="6"/>
  <c r="S147" i="6"/>
  <c r="M146" i="6"/>
  <c r="N146" i="6"/>
  <c r="O146" i="6"/>
  <c r="R146" i="6"/>
  <c r="S146" i="6"/>
  <c r="M145" i="6"/>
  <c r="N145" i="6"/>
  <c r="O145" i="6"/>
  <c r="Q145" i="6"/>
  <c r="R145" i="6"/>
  <c r="S145" i="6"/>
  <c r="M144" i="6"/>
  <c r="N144" i="6"/>
  <c r="O144" i="6"/>
  <c r="R144" i="6"/>
  <c r="N143" i="6"/>
  <c r="O143" i="6"/>
  <c r="R143" i="6"/>
  <c r="S143" i="6"/>
  <c r="N142" i="6"/>
  <c r="O142" i="6"/>
  <c r="S142" i="6"/>
  <c r="M139" i="6"/>
  <c r="N139" i="6"/>
  <c r="O139" i="6"/>
  <c r="Q139" i="6"/>
  <c r="R139" i="6"/>
  <c r="S139" i="6"/>
  <c r="N138" i="6"/>
  <c r="O138" i="6"/>
  <c r="Q138" i="6"/>
  <c r="R138" i="6"/>
  <c r="S138" i="6"/>
  <c r="N137" i="6"/>
  <c r="O137" i="6"/>
  <c r="R137" i="6"/>
  <c r="S137" i="6"/>
  <c r="N136" i="6"/>
  <c r="O136" i="6"/>
  <c r="N135" i="6"/>
  <c r="O135" i="6"/>
  <c r="R135" i="6"/>
  <c r="S135" i="6"/>
  <c r="M134" i="6"/>
  <c r="N134" i="6"/>
  <c r="O134" i="6"/>
  <c r="R134" i="6"/>
  <c r="S134" i="6"/>
  <c r="N132" i="6"/>
  <c r="O132" i="6"/>
  <c r="R132" i="6"/>
  <c r="S132" i="6"/>
  <c r="O141" i="6" l="1"/>
  <c r="O140" i="6" s="1"/>
  <c r="L144" i="6"/>
  <c r="P145" i="6"/>
  <c r="P151" i="6"/>
  <c r="N141" i="6"/>
  <c r="N140" i="6" s="1"/>
  <c r="L146" i="6"/>
  <c r="L145" i="6"/>
  <c r="L151" i="6"/>
  <c r="S144" i="6"/>
  <c r="L139" i="6"/>
  <c r="S136" i="6"/>
  <c r="P138" i="6"/>
  <c r="P139" i="6"/>
  <c r="O133" i="6"/>
  <c r="O131" i="6" s="1"/>
  <c r="N133" i="6"/>
  <c r="N131" i="6" s="1"/>
  <c r="L134" i="6"/>
  <c r="S141" i="6" l="1"/>
  <c r="S140" i="6" s="1"/>
  <c r="S133" i="6"/>
  <c r="S131" i="6" s="1"/>
  <c r="M130" i="6" l="1"/>
  <c r="N130" i="6"/>
  <c r="O130" i="6"/>
  <c r="R130" i="6"/>
  <c r="S130" i="6"/>
  <c r="N129" i="6"/>
  <c r="O129" i="6"/>
  <c r="R129" i="6"/>
  <c r="S129" i="6"/>
  <c r="N128" i="6"/>
  <c r="O128" i="6"/>
  <c r="S128" i="6"/>
  <c r="M127" i="6"/>
  <c r="N127" i="6"/>
  <c r="O127" i="6"/>
  <c r="R127" i="6"/>
  <c r="S127" i="6"/>
  <c r="N126" i="6"/>
  <c r="O126" i="6"/>
  <c r="R126" i="6"/>
  <c r="S126" i="6"/>
  <c r="N125" i="6"/>
  <c r="O125" i="6"/>
  <c r="R125" i="6"/>
  <c r="S125" i="6"/>
  <c r="N124" i="6"/>
  <c r="O124" i="6"/>
  <c r="R124" i="6"/>
  <c r="S124" i="6"/>
  <c r="N123" i="6"/>
  <c r="O123" i="6"/>
  <c r="R123" i="6"/>
  <c r="S123" i="6"/>
  <c r="M121" i="6"/>
  <c r="N121" i="6"/>
  <c r="O121" i="6"/>
  <c r="R121" i="6"/>
  <c r="S121" i="6"/>
  <c r="M70" i="6"/>
  <c r="L70" i="6" s="1"/>
  <c r="L121" i="6" l="1"/>
  <c r="L130" i="6"/>
  <c r="S122" i="6"/>
  <c r="S120" i="6" s="1"/>
  <c r="O122" i="6"/>
  <c r="O120" i="6" s="1"/>
  <c r="N122" i="6"/>
  <c r="N120" i="6" s="1"/>
  <c r="L127" i="6"/>
  <c r="M135" i="6" l="1"/>
  <c r="L135" i="6" s="1"/>
  <c r="M128" i="6"/>
  <c r="L128" i="6" s="1"/>
  <c r="Q89" i="6"/>
  <c r="Q80" i="6"/>
  <c r="Q92" i="6" l="1"/>
  <c r="Q88" i="6"/>
  <c r="P80" i="6"/>
  <c r="P92" i="6" l="1"/>
  <c r="P91" i="6" s="1"/>
  <c r="Q91" i="6"/>
  <c r="R168" i="6" l="1"/>
  <c r="R167" i="6" l="1"/>
  <c r="M41" i="6" l="1"/>
  <c r="M45" i="6" l="1"/>
  <c r="N45" i="6"/>
  <c r="O45" i="6"/>
  <c r="Q45" i="6"/>
  <c r="R45" i="6"/>
  <c r="S45" i="6"/>
  <c r="M44" i="6"/>
  <c r="N44" i="6"/>
  <c r="O44" i="6"/>
  <c r="R44" i="6"/>
  <c r="S44" i="6"/>
  <c r="M43" i="6"/>
  <c r="N43" i="6"/>
  <c r="O43" i="6"/>
  <c r="Q43" i="6"/>
  <c r="R43" i="6"/>
  <c r="S43" i="6"/>
  <c r="N42" i="6"/>
  <c r="O42" i="6"/>
  <c r="R42" i="6"/>
  <c r="S42" i="6"/>
  <c r="N41" i="6"/>
  <c r="O41" i="6"/>
  <c r="R41" i="6"/>
  <c r="S41" i="6"/>
  <c r="M40" i="6"/>
  <c r="N40" i="6"/>
  <c r="O40" i="6"/>
  <c r="R40" i="6"/>
  <c r="S40" i="6"/>
  <c r="M38" i="6"/>
  <c r="N38" i="6"/>
  <c r="O38" i="6"/>
  <c r="Q38" i="6"/>
  <c r="R38" i="6"/>
  <c r="S38" i="6"/>
  <c r="O37" i="6"/>
  <c r="R37" i="6"/>
  <c r="S37" i="6"/>
  <c r="N35" i="6"/>
  <c r="O35" i="6"/>
  <c r="R35" i="6"/>
  <c r="S35" i="6"/>
  <c r="M34" i="6"/>
  <c r="N34" i="6"/>
  <c r="O34" i="6"/>
  <c r="Q34" i="6"/>
  <c r="R34" i="6"/>
  <c r="S33" i="6"/>
  <c r="M31" i="6"/>
  <c r="N31" i="6"/>
  <c r="O31" i="6"/>
  <c r="Q31" i="6"/>
  <c r="R31" i="6"/>
  <c r="S31" i="6"/>
  <c r="M30" i="6"/>
  <c r="N30" i="6"/>
  <c r="O30" i="6"/>
  <c r="R30" i="6"/>
  <c r="S30" i="6"/>
  <c r="M29" i="6"/>
  <c r="N29" i="6"/>
  <c r="O29" i="6"/>
  <c r="Q29" i="6"/>
  <c r="S29" i="6"/>
  <c r="M28" i="6"/>
  <c r="N28" i="6"/>
  <c r="O28" i="6"/>
  <c r="Q28" i="6"/>
  <c r="R28" i="6"/>
  <c r="S28" i="6"/>
  <c r="M27" i="6"/>
  <c r="N27" i="6"/>
  <c r="O27" i="6"/>
  <c r="Q27" i="6"/>
  <c r="R27" i="6"/>
  <c r="S27" i="6"/>
  <c r="M26" i="6"/>
  <c r="N26" i="6"/>
  <c r="O26" i="6"/>
  <c r="R26" i="6"/>
  <c r="S26" i="6"/>
  <c r="M25" i="6"/>
  <c r="N25" i="6"/>
  <c r="O25" i="6"/>
  <c r="R25" i="6"/>
  <c r="S25" i="6"/>
  <c r="M24" i="6"/>
  <c r="N24" i="6"/>
  <c r="O24" i="6"/>
  <c r="R24" i="6"/>
  <c r="S24" i="6"/>
  <c r="L30" i="6" l="1"/>
  <c r="L44" i="6"/>
  <c r="L24" i="6"/>
  <c r="L28" i="6"/>
  <c r="L26" i="6"/>
  <c r="S23" i="6"/>
  <c r="P45" i="6"/>
  <c r="L41" i="6"/>
  <c r="L43" i="6"/>
  <c r="L45" i="6"/>
  <c r="L38" i="6"/>
  <c r="S39" i="6"/>
  <c r="S36" i="6" s="1"/>
  <c r="R39" i="6"/>
  <c r="R36" i="6" s="1"/>
  <c r="P43" i="6"/>
  <c r="O39" i="6"/>
  <c r="O36" i="6" s="1"/>
  <c r="P38" i="6"/>
  <c r="N39" i="6"/>
  <c r="L40" i="6"/>
  <c r="S34" i="6"/>
  <c r="P34" i="6" s="1"/>
  <c r="R29" i="6"/>
  <c r="P29" i="6" s="1"/>
  <c r="P27" i="6"/>
  <c r="P31" i="6"/>
  <c r="L27" i="6"/>
  <c r="L31" i="6"/>
  <c r="L34" i="6"/>
  <c r="R33" i="6"/>
  <c r="R32" i="6" s="1"/>
  <c r="L29" i="6"/>
  <c r="P28" i="6"/>
  <c r="O23" i="6"/>
  <c r="N23" i="6"/>
  <c r="L25" i="6"/>
  <c r="M23" i="6"/>
  <c r="L23" i="6" l="1"/>
  <c r="R23" i="6"/>
  <c r="R22" i="6" s="1"/>
  <c r="S32" i="6"/>
  <c r="S22" i="6" s="1"/>
  <c r="Q128" i="6" l="1"/>
  <c r="R128" i="6"/>
  <c r="R122" i="6" s="1"/>
  <c r="R120" i="6" s="1"/>
  <c r="M67" i="6"/>
  <c r="O67" i="6"/>
  <c r="Q67" i="6"/>
  <c r="R67" i="6"/>
  <c r="S67" i="6"/>
  <c r="M66" i="6"/>
  <c r="N66" i="6"/>
  <c r="O66" i="6"/>
  <c r="R66" i="6"/>
  <c r="M64" i="6"/>
  <c r="O64" i="6"/>
  <c r="Q64" i="6"/>
  <c r="R64" i="6"/>
  <c r="S64" i="6"/>
  <c r="N63" i="6"/>
  <c r="O63" i="6"/>
  <c r="M62" i="6"/>
  <c r="N62" i="6"/>
  <c r="O62" i="6"/>
  <c r="R62" i="6"/>
  <c r="S62" i="6"/>
  <c r="M61" i="6"/>
  <c r="N61" i="6"/>
  <c r="O61" i="6"/>
  <c r="Q61" i="6"/>
  <c r="S61" i="6"/>
  <c r="N59" i="6"/>
  <c r="O59" i="6"/>
  <c r="R59" i="6"/>
  <c r="S59" i="6"/>
  <c r="M58" i="6"/>
  <c r="N58" i="6"/>
  <c r="O58" i="6"/>
  <c r="Q58" i="6"/>
  <c r="R58" i="6"/>
  <c r="S58" i="6"/>
  <c r="N57" i="6"/>
  <c r="O57" i="6"/>
  <c r="R57" i="6"/>
  <c r="S57" i="6"/>
  <c r="M56" i="6"/>
  <c r="N56" i="6"/>
  <c r="O56" i="6"/>
  <c r="R56" i="6"/>
  <c r="S56" i="6"/>
  <c r="M55" i="6"/>
  <c r="N55" i="6"/>
  <c r="O55" i="6"/>
  <c r="R55" i="6"/>
  <c r="S55" i="6"/>
  <c r="N54" i="6"/>
  <c r="O54" i="6"/>
  <c r="S54" i="6"/>
  <c r="O53" i="6" l="1"/>
  <c r="S53" i="6"/>
  <c r="O65" i="6"/>
  <c r="L62" i="6"/>
  <c r="L55" i="6"/>
  <c r="P67" i="6"/>
  <c r="O60" i="6"/>
  <c r="O52" i="6" s="1"/>
  <c r="L64" i="6"/>
  <c r="R65" i="6"/>
  <c r="P128" i="6"/>
  <c r="L66" i="6"/>
  <c r="M65" i="6"/>
  <c r="P64" i="6"/>
  <c r="S63" i="6"/>
  <c r="S60" i="6" s="1"/>
  <c r="N67" i="6"/>
  <c r="N65" i="6" s="1"/>
  <c r="R63" i="6"/>
  <c r="P58" i="6"/>
  <c r="S66" i="6"/>
  <c r="S65" i="6" s="1"/>
  <c r="N53" i="6"/>
  <c r="N60" i="6"/>
  <c r="L56" i="6"/>
  <c r="L58" i="6"/>
  <c r="L61" i="6"/>
  <c r="S52" i="6" l="1"/>
  <c r="L67" i="6"/>
  <c r="L65" i="6" s="1"/>
  <c r="N52" i="6"/>
  <c r="M92" i="6" l="1"/>
  <c r="N89" i="6"/>
  <c r="M82" i="6"/>
  <c r="L82" i="6" s="1"/>
  <c r="M81" i="6"/>
  <c r="M75" i="6"/>
  <c r="L75" i="6" s="1"/>
  <c r="Q70" i="6"/>
  <c r="M63" i="6"/>
  <c r="M59" i="6"/>
  <c r="L59" i="6" s="1"/>
  <c r="M57" i="6"/>
  <c r="L57" i="6" s="1"/>
  <c r="M54" i="6"/>
  <c r="R54" i="6"/>
  <c r="R53" i="6" s="1"/>
  <c r="M47" i="6"/>
  <c r="M37" i="6"/>
  <c r="N37" i="6"/>
  <c r="N36" i="6" s="1"/>
  <c r="M35" i="6"/>
  <c r="L35" i="6" s="1"/>
  <c r="Q35" i="6"/>
  <c r="P35" i="6" s="1"/>
  <c r="Q30" i="6"/>
  <c r="P30" i="6" s="1"/>
  <c r="Q24" i="6"/>
  <c r="M20" i="6"/>
  <c r="L20" i="6" s="1"/>
  <c r="Q19" i="6"/>
  <c r="P19" i="6" s="1"/>
  <c r="N17" i="6"/>
  <c r="Q17" i="6"/>
  <c r="M15" i="6"/>
  <c r="L92" i="6" l="1"/>
  <c r="L91" i="6" s="1"/>
  <c r="M91" i="6"/>
  <c r="N88" i="6"/>
  <c r="N76" i="6" s="1"/>
  <c r="L89" i="6"/>
  <c r="L88" i="6" s="1"/>
  <c r="L81" i="6"/>
  <c r="L77" i="6" s="1"/>
  <c r="M77" i="6"/>
  <c r="M76" i="6" s="1"/>
  <c r="P70" i="6"/>
  <c r="M60" i="6"/>
  <c r="L63" i="6"/>
  <c r="L60" i="6" s="1"/>
  <c r="M53" i="6"/>
  <c r="L54" i="6"/>
  <c r="L53" i="6" s="1"/>
  <c r="L47" i="6"/>
  <c r="L46" i="6" s="1"/>
  <c r="M46" i="6"/>
  <c r="L37" i="6"/>
  <c r="P24" i="6"/>
  <c r="N14" i="6"/>
  <c r="N8" i="6" s="1"/>
  <c r="L17" i="6"/>
  <c r="L15" i="6"/>
  <c r="M14" i="6"/>
  <c r="L76" i="6" l="1"/>
  <c r="L14" i="6"/>
  <c r="L52" i="6"/>
  <c r="M52" i="6"/>
  <c r="Q119" i="6" l="1"/>
  <c r="P119" i="6" s="1"/>
  <c r="M119" i="6"/>
  <c r="L119" i="6" s="1"/>
  <c r="S180" i="6" l="1"/>
  <c r="Q144" i="6"/>
  <c r="P144" i="6" s="1"/>
  <c r="M126" i="6"/>
  <c r="L126" i="6" s="1"/>
  <c r="M125" i="6"/>
  <c r="L125" i="6" s="1"/>
  <c r="M124" i="6"/>
  <c r="L124" i="6" s="1"/>
  <c r="M123" i="6"/>
  <c r="M96" i="6"/>
  <c r="N96" i="6"/>
  <c r="Q96" i="6"/>
  <c r="R96" i="6"/>
  <c r="S96" i="6"/>
  <c r="N118" i="6"/>
  <c r="O118" i="6"/>
  <c r="Q118" i="6"/>
  <c r="R118" i="6"/>
  <c r="S118" i="6"/>
  <c r="N116" i="6"/>
  <c r="O116" i="6"/>
  <c r="R116" i="6"/>
  <c r="S116" i="6"/>
  <c r="N112" i="6"/>
  <c r="O112" i="6"/>
  <c r="R112" i="6"/>
  <c r="S112" i="6"/>
  <c r="N111" i="6"/>
  <c r="O111" i="6"/>
  <c r="R111" i="6"/>
  <c r="S111" i="6"/>
  <c r="N110" i="6"/>
  <c r="O110" i="6"/>
  <c r="R110" i="6"/>
  <c r="S110" i="6"/>
  <c r="N109" i="6"/>
  <c r="O109" i="6"/>
  <c r="R109" i="6"/>
  <c r="S109" i="6"/>
  <c r="N108" i="6"/>
  <c r="O108" i="6"/>
  <c r="R108" i="6"/>
  <c r="S108" i="6"/>
  <c r="N107" i="6"/>
  <c r="O107" i="6"/>
  <c r="R107" i="6"/>
  <c r="S107" i="6"/>
  <c r="Q83" i="6"/>
  <c r="P83" i="6" s="1"/>
  <c r="Q66" i="6"/>
  <c r="R61" i="6"/>
  <c r="O96" i="6" l="1"/>
  <c r="L96" i="6" s="1"/>
  <c r="P118" i="6"/>
  <c r="O106" i="6"/>
  <c r="N106" i="6"/>
  <c r="N95" i="6" s="1"/>
  <c r="S106" i="6"/>
  <c r="S95" i="6" s="1"/>
  <c r="R106" i="6"/>
  <c r="R95" i="6" s="1"/>
  <c r="P96" i="6"/>
  <c r="L123" i="6"/>
  <c r="P66" i="6"/>
  <c r="P65" i="6" s="1"/>
  <c r="Q65" i="6"/>
  <c r="P61" i="6"/>
  <c r="R60" i="6"/>
  <c r="R52" i="6" s="1"/>
  <c r="O95" i="6" l="1"/>
  <c r="M118" i="6" l="1"/>
  <c r="L118" i="6" l="1"/>
  <c r="Q172" i="6" l="1"/>
  <c r="P172" i="6" s="1"/>
  <c r="M33" i="6" l="1"/>
  <c r="N33" i="6"/>
  <c r="N32" i="6" s="1"/>
  <c r="N22" i="6" s="1"/>
  <c r="O33" i="6"/>
  <c r="O32" i="6" s="1"/>
  <c r="O22" i="6" s="1"/>
  <c r="Q33" i="6"/>
  <c r="Q26" i="6"/>
  <c r="P26" i="6" s="1"/>
  <c r="Q25" i="6"/>
  <c r="Q18" i="6"/>
  <c r="P18" i="6" s="1"/>
  <c r="R17" i="6"/>
  <c r="Q15" i="6"/>
  <c r="Q12" i="6"/>
  <c r="P12" i="6" s="1"/>
  <c r="Q11" i="6"/>
  <c r="P11" i="6" s="1"/>
  <c r="Q10" i="6"/>
  <c r="P33" i="6" l="1"/>
  <c r="P32" i="6" s="1"/>
  <c r="Q32" i="6"/>
  <c r="L33" i="6"/>
  <c r="L32" i="6" s="1"/>
  <c r="L22" i="6" s="1"/>
  <c r="M32" i="6"/>
  <c r="M22" i="6" s="1"/>
  <c r="P25" i="6"/>
  <c r="P23" i="6" s="1"/>
  <c r="Q23" i="6"/>
  <c r="R14" i="6"/>
  <c r="R8" i="6" s="1"/>
  <c r="P17" i="6"/>
  <c r="Q14" i="6"/>
  <c r="P15" i="6"/>
  <c r="P10" i="6"/>
  <c r="P9" i="6" s="1"/>
  <c r="Q9" i="6"/>
  <c r="P14" i="6" l="1"/>
  <c r="P8" i="6" s="1"/>
  <c r="Q22" i="6"/>
  <c r="P22" i="6"/>
  <c r="Q8" i="6"/>
  <c r="Q54" i="6" l="1"/>
  <c r="Q49" i="6"/>
  <c r="Q47" i="6"/>
  <c r="Q44" i="6"/>
  <c r="P44" i="6" s="1"/>
  <c r="Q42" i="6"/>
  <c r="P42" i="6" s="1"/>
  <c r="Q41" i="6"/>
  <c r="P41" i="6" s="1"/>
  <c r="Q40" i="6"/>
  <c r="Q37" i="6"/>
  <c r="P54" i="6" l="1"/>
  <c r="P49" i="6"/>
  <c r="P48" i="6" s="1"/>
  <c r="Q48" i="6"/>
  <c r="Q46" i="6" s="1"/>
  <c r="P47" i="6"/>
  <c r="P40" i="6"/>
  <c r="P39" i="6" s="1"/>
  <c r="Q39" i="6"/>
  <c r="Q36" i="6" s="1"/>
  <c r="P37" i="6"/>
  <c r="P46" i="6" l="1"/>
  <c r="P36" i="6"/>
  <c r="R89" i="6" l="1"/>
  <c r="Q82" i="6"/>
  <c r="P82" i="6" s="1"/>
  <c r="Q81" i="6"/>
  <c r="R79" i="6"/>
  <c r="Q75" i="6"/>
  <c r="P75" i="6" s="1"/>
  <c r="M71" i="6"/>
  <c r="Q71" i="6"/>
  <c r="Q63" i="6"/>
  <c r="P63" i="6" s="1"/>
  <c r="Q62" i="6"/>
  <c r="Q59" i="6"/>
  <c r="P59" i="6" s="1"/>
  <c r="Q57" i="6"/>
  <c r="P57" i="6" s="1"/>
  <c r="Q56" i="6"/>
  <c r="P56" i="6" s="1"/>
  <c r="Q55" i="6"/>
  <c r="R88" i="6" l="1"/>
  <c r="P89" i="6"/>
  <c r="P88" i="6" s="1"/>
  <c r="P81" i="6"/>
  <c r="Q77" i="6"/>
  <c r="Q76" i="6" s="1"/>
  <c r="R77" i="6"/>
  <c r="R76" i="6" s="1"/>
  <c r="P79" i="6"/>
  <c r="P77" i="6" s="1"/>
  <c r="L71" i="6"/>
  <c r="L69" i="6" s="1"/>
  <c r="L68" i="6" s="1"/>
  <c r="M69" i="6"/>
  <c r="M68" i="6" s="1"/>
  <c r="Q69" i="6"/>
  <c r="Q68" i="6" s="1"/>
  <c r="P71" i="6"/>
  <c r="P69" i="6" s="1"/>
  <c r="P68" i="6" s="1"/>
  <c r="P62" i="6"/>
  <c r="P60" i="6" s="1"/>
  <c r="Q60" i="6"/>
  <c r="P55" i="6"/>
  <c r="P53" i="6" s="1"/>
  <c r="Q53" i="6"/>
  <c r="P76" i="6" l="1"/>
  <c r="Q52" i="6"/>
  <c r="P52" i="6"/>
  <c r="Q146" i="6" l="1"/>
  <c r="P146" i="6" s="1"/>
  <c r="M143" i="6"/>
  <c r="R136" i="6"/>
  <c r="Q126" i="6"/>
  <c r="P126" i="6" s="1"/>
  <c r="Q125" i="6"/>
  <c r="P125" i="6" s="1"/>
  <c r="Q124" i="6"/>
  <c r="P124" i="6" s="1"/>
  <c r="Q123" i="6"/>
  <c r="Q121" i="6"/>
  <c r="L143" i="6" l="1"/>
  <c r="R133" i="6"/>
  <c r="R131" i="6" s="1"/>
  <c r="P123" i="6"/>
  <c r="P121" i="6"/>
  <c r="M10" i="6" l="1"/>
  <c r="M9" i="6" l="1"/>
  <c r="M8" i="6" s="1"/>
  <c r="L10" i="6"/>
  <c r="L9" i="6" s="1"/>
  <c r="L8" i="6" s="1"/>
  <c r="O182" i="6" l="1"/>
  <c r="M178" i="6"/>
  <c r="O179" i="6" l="1"/>
  <c r="L178" i="6"/>
  <c r="O6" i="6" l="1"/>
  <c r="D13" i="7" s="1"/>
  <c r="D14" i="7" l="1"/>
  <c r="D37" i="7"/>
  <c r="Q165" i="6" l="1"/>
  <c r="Q136" i="6" l="1"/>
  <c r="P136" i="6" s="1"/>
  <c r="M182" i="6" l="1"/>
  <c r="L182" i="6" s="1"/>
  <c r="Q182" i="6"/>
  <c r="M180" i="6"/>
  <c r="N180" i="6"/>
  <c r="N179" i="6" s="1"/>
  <c r="Q180" i="6"/>
  <c r="R180" i="6"/>
  <c r="R179" i="6" s="1"/>
  <c r="S178" i="6"/>
  <c r="Q177" i="6"/>
  <c r="P177" i="6" s="1"/>
  <c r="Q176" i="6"/>
  <c r="P176" i="6" s="1"/>
  <c r="Q175" i="6"/>
  <c r="P175" i="6" s="1"/>
  <c r="M174" i="6"/>
  <c r="Q174" i="6"/>
  <c r="M172" i="6"/>
  <c r="L172" i="6" s="1"/>
  <c r="Q171" i="6"/>
  <c r="P171" i="6" s="1"/>
  <c r="Q170" i="6"/>
  <c r="P170" i="6" s="1"/>
  <c r="Q169" i="6"/>
  <c r="P169" i="6" s="1"/>
  <c r="Q168" i="6"/>
  <c r="Q166" i="6"/>
  <c r="P166" i="6" s="1"/>
  <c r="R165" i="6"/>
  <c r="M163" i="6"/>
  <c r="Q163" i="6"/>
  <c r="Q161" i="6"/>
  <c r="P161" i="6" s="1"/>
  <c r="Q159" i="6"/>
  <c r="P159" i="6" s="1"/>
  <c r="Q158" i="6"/>
  <c r="Q156" i="6"/>
  <c r="P156" i="6" s="1"/>
  <c r="M154" i="6"/>
  <c r="Q154" i="6"/>
  <c r="M150" i="6"/>
  <c r="L150" i="6" s="1"/>
  <c r="Q150" i="6"/>
  <c r="P150" i="6" s="1"/>
  <c r="M149" i="6"/>
  <c r="L149" i="6" s="1"/>
  <c r="Q149" i="6"/>
  <c r="P149" i="6" s="1"/>
  <c r="M148" i="6"/>
  <c r="L148" i="6" s="1"/>
  <c r="Q148" i="6"/>
  <c r="P148" i="6" s="1"/>
  <c r="M147" i="6"/>
  <c r="L147" i="6" s="1"/>
  <c r="Q147" i="6"/>
  <c r="R147" i="6"/>
  <c r="Q143" i="6"/>
  <c r="P143" i="6" s="1"/>
  <c r="M142" i="6"/>
  <c r="Q142" i="6"/>
  <c r="R142" i="6"/>
  <c r="R141" i="6" s="1"/>
  <c r="M138" i="6"/>
  <c r="L138" i="6" s="1"/>
  <c r="M137" i="6"/>
  <c r="L137" i="6" s="1"/>
  <c r="Q137" i="6"/>
  <c r="P137" i="6" s="1"/>
  <c r="M136" i="6"/>
  <c r="Q135" i="6"/>
  <c r="P135" i="6" s="1"/>
  <c r="Q134" i="6"/>
  <c r="M132" i="6"/>
  <c r="Q132" i="6"/>
  <c r="Q130" i="6"/>
  <c r="P130" i="6" s="1"/>
  <c r="M129" i="6"/>
  <c r="Q129" i="6"/>
  <c r="P129" i="6" s="1"/>
  <c r="Q127" i="6"/>
  <c r="M116" i="6"/>
  <c r="L116" i="6" s="1"/>
  <c r="Q116" i="6"/>
  <c r="P116" i="6" s="1"/>
  <c r="M112" i="6"/>
  <c r="L112" i="6" s="1"/>
  <c r="Q112" i="6"/>
  <c r="P112" i="6" s="1"/>
  <c r="M111" i="6"/>
  <c r="L111" i="6" s="1"/>
  <c r="Q111" i="6"/>
  <c r="P111" i="6" s="1"/>
  <c r="M110" i="6"/>
  <c r="L110" i="6" s="1"/>
  <c r="Q110" i="6"/>
  <c r="M109" i="6"/>
  <c r="L109" i="6" s="1"/>
  <c r="Q109" i="6"/>
  <c r="P109" i="6" s="1"/>
  <c r="M108" i="6"/>
  <c r="L108" i="6" s="1"/>
  <c r="Q108" i="6"/>
  <c r="P108" i="6" s="1"/>
  <c r="M107" i="6"/>
  <c r="Q107" i="6"/>
  <c r="P107" i="6" s="1"/>
  <c r="M42" i="6"/>
  <c r="P110" i="6" l="1"/>
  <c r="P106" i="6" s="1"/>
  <c r="P95" i="6" s="1"/>
  <c r="Q106" i="6"/>
  <c r="Q95" i="6" s="1"/>
  <c r="L42" i="6"/>
  <c r="L39" i="6" s="1"/>
  <c r="L36" i="6" s="1"/>
  <c r="M39" i="6"/>
  <c r="M36" i="6" s="1"/>
  <c r="M106" i="6"/>
  <c r="M95" i="6" s="1"/>
  <c r="L107" i="6"/>
  <c r="L106" i="6" s="1"/>
  <c r="L95" i="6" s="1"/>
  <c r="S182" i="6"/>
  <c r="S179" i="6" s="1"/>
  <c r="S6" i="6" s="1"/>
  <c r="E13" i="7" s="1"/>
  <c r="N6" i="6"/>
  <c r="D9" i="7" s="1"/>
  <c r="P180" i="6"/>
  <c r="Q179" i="6"/>
  <c r="M179" i="6"/>
  <c r="L180" i="6"/>
  <c r="L179" i="6" s="1"/>
  <c r="Q178" i="6"/>
  <c r="P178" i="6" s="1"/>
  <c r="P174" i="6"/>
  <c r="P173" i="6" s="1"/>
  <c r="Q173" i="6"/>
  <c r="M173" i="6"/>
  <c r="L174" i="6"/>
  <c r="L173" i="6" s="1"/>
  <c r="Q167" i="6"/>
  <c r="P168" i="6"/>
  <c r="P167" i="6" s="1"/>
  <c r="R162" i="6"/>
  <c r="R152" i="6" s="1"/>
  <c r="P165" i="6"/>
  <c r="P163" i="6"/>
  <c r="Q162" i="6"/>
  <c r="L163" i="6"/>
  <c r="L162" i="6" s="1"/>
  <c r="M162" i="6"/>
  <c r="P158" i="6"/>
  <c r="P157" i="6" s="1"/>
  <c r="Q157" i="6"/>
  <c r="P154" i="6"/>
  <c r="P153" i="6" s="1"/>
  <c r="Q153" i="6"/>
  <c r="L154" i="6"/>
  <c r="L153" i="6" s="1"/>
  <c r="M153" i="6"/>
  <c r="M152" i="6" s="1"/>
  <c r="P147" i="6"/>
  <c r="R140" i="6"/>
  <c r="Q141" i="6"/>
  <c r="Q140" i="6" s="1"/>
  <c r="P142" i="6"/>
  <c r="P141" i="6" s="1"/>
  <c r="L142" i="6"/>
  <c r="L141" i="6" s="1"/>
  <c r="L140" i="6" s="1"/>
  <c r="M141" i="6"/>
  <c r="M140" i="6" s="1"/>
  <c r="L136" i="6"/>
  <c r="L133" i="6" s="1"/>
  <c r="M133" i="6"/>
  <c r="M131" i="6" s="1"/>
  <c r="Q133" i="6"/>
  <c r="Q131" i="6" s="1"/>
  <c r="P134" i="6"/>
  <c r="P133" i="6" s="1"/>
  <c r="P132" i="6"/>
  <c r="L132" i="6"/>
  <c r="L129" i="6"/>
  <c r="L122" i="6" s="1"/>
  <c r="L120" i="6" s="1"/>
  <c r="M122" i="6"/>
  <c r="M120" i="6" s="1"/>
  <c r="P127" i="6"/>
  <c r="P122" i="6" s="1"/>
  <c r="P120" i="6" s="1"/>
  <c r="Q122" i="6"/>
  <c r="Q120" i="6" s="1"/>
  <c r="P140" i="6" l="1"/>
  <c r="R6" i="6"/>
  <c r="E9" i="7" s="1"/>
  <c r="E36" i="7" s="1"/>
  <c r="P182" i="6"/>
  <c r="P179" i="6" s="1"/>
  <c r="E14" i="7"/>
  <c r="E37" i="7"/>
  <c r="D36" i="7"/>
  <c r="D10" i="7"/>
  <c r="L152" i="6"/>
  <c r="P162" i="6"/>
  <c r="P152" i="6" s="1"/>
  <c r="Q152" i="6"/>
  <c r="Q6" i="6" s="1"/>
  <c r="L131" i="6"/>
  <c r="P131" i="6"/>
  <c r="M6" i="6"/>
  <c r="D5" i="7" s="1"/>
  <c r="E10" i="7" l="1"/>
  <c r="E5" i="7"/>
  <c r="E22" i="7" s="1"/>
  <c r="E23" i="7" s="1"/>
  <c r="L6" i="6"/>
  <c r="P6" i="6"/>
  <c r="E6" i="7"/>
  <c r="E35" i="7"/>
  <c r="E41" i="7" s="1"/>
  <c r="E42" i="7" s="1"/>
  <c r="E17" i="7"/>
  <c r="E18" i="7" s="1"/>
  <c r="D6" i="7"/>
  <c r="D35" i="7"/>
  <c r="D41" i="7" s="1"/>
  <c r="D42" i="7" s="1"/>
  <c r="D22" i="7"/>
  <c r="D23" i="7" s="1"/>
  <c r="D17" i="7"/>
  <c r="D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E10" authorId="0" shapeId="0" xr:uid="{F5B96B89-C336-4A5C-9627-179903376F4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predškoláci (111) - 16 063 EUR</t>
        </r>
      </text>
    </comment>
    <comment ref="I10" authorId="0" shapeId="0" xr:uid="{9DF84B5D-2167-48D6-98C4-B50C601073F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1 702,40 EUR</t>
        </r>
      </text>
    </comment>
    <comment ref="E11" authorId="0" shapeId="0" xr:uid="{DE62037C-220F-425D-AF3A-9ABE774FD8F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1 092 EUR z roku 2022 
UP (11T2) - 16,60 EUR
predškoláci (111) - 21 926 EUR
špecifiká (11UA) - 6 734 EUR
pomocný vychovávateľ (1P01) - 5 043,95 EUR</t>
        </r>
      </text>
    </comment>
    <comment ref="G11" authorId="0" shapeId="0" xr:uid="{F3DAA39D-C2B4-47BA-8E0F-C62B79091C1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1BB1 - 2 300,22 EUR
1BB2 - 405,92 EUR
72 - 27 743,38 EUR nevrátených 30 EUR
</t>
        </r>
      </text>
    </comment>
    <comment ref="I11" authorId="0" shapeId="0" xr:uid="{CBF45389-D157-4D21-8B04-EBA1BEC96D7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2 377,20 EUR</t>
        </r>
      </text>
    </comment>
    <comment ref="E12" authorId="0" shapeId="0" xr:uid="{C88B3CE6-53E2-4849-BC91-DA76B7906E4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364 EUR z roku 2022
131M dopravné 129,70 EUR z roku 2022
dopravné (111) - 504,70 EUR 
UP (11T2) - 16,60 EUR
predškoláci (111) - 44 255 EUR
špecifiká (11UA) - 796,79 EUR nevyčerpané 1 933,21 EUR</t>
        </r>
      </text>
    </comment>
    <comment ref="G12" authorId="0" shapeId="0" xr:uid="{078ECA90-A761-40C6-97E6-86C1BB9DDF0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nevrátené 90 EUR</t>
        </r>
      </text>
    </comment>
    <comment ref="I12" authorId="0" shapeId="0" xr:uid="{490E812C-BFA3-4B61-9346-05AC5CCE283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6 525,10 EUR</t>
        </r>
      </text>
    </comment>
    <comment ref="E14" authorId="0" shapeId="0" xr:uid="{311707CB-B7E6-46C0-930E-83A87524952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2 184 EUR z roku 2022
predškoláci (111) - 14 349 EUR
špecifiká (11UA) - 8 918 EUR</t>
        </r>
      </text>
    </comment>
    <comment ref="I14" authorId="0" shapeId="0" xr:uid="{82E488A7-E0F5-4A6C-93ED-53B340F233F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1 779,40 EUR</t>
        </r>
      </text>
    </comment>
    <comment ref="E15" authorId="0" shapeId="0" xr:uid="{8380A553-9518-4D25-AC18-BD94153EE37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364 EUR z roku 2022
predškoláci (111) - 18 979 EUR
špecifiká (11UA) - 1 456 EUR
prof. Rozvoj (3P01) - 295 EUR
pomocný vychovávateľ (1P01) - 6 701,70 EUR</t>
        </r>
      </text>
    </comment>
    <comment ref="G15" authorId="0" shapeId="0" xr:uid="{6B310DDF-52EE-4126-96F7-AF7F44590D1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1AC1 - 27 087,09 EUR
1AC2 - 5 713,19 EUR
1BB1 - 15 818,81 EUR
1BB2 - 2 791,55EUR
3AC1 - 5 291,30 EUR
3AC2 - 1 518,18 EUR
3AC3 - 209,93 EUR
72 - 21 178,50 EUR nevyčerpané 60 EUR</t>
        </r>
      </text>
    </comment>
    <comment ref="I15" authorId="0" shapeId="0" xr:uid="{336CCBDD-0BDC-401B-8C9C-7DC09614DBA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2 405,20 EUR</t>
        </r>
      </text>
    </comment>
    <comment ref="E16" authorId="0" shapeId="0" xr:uid="{574228A9-CB5E-4727-8515-A292F23B298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predškoláci (111) - 20 044,13 EUR nevyčerpané 1 611,87 EUR
špecifiká (11UA) - 3 094 EUR</t>
        </r>
      </text>
    </comment>
    <comment ref="I16" authorId="0" shapeId="0" xr:uid="{A2DFFEBD-51B9-46C1-B34D-D042E5362F7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2 798,60 EUR</t>
        </r>
      </text>
    </comment>
    <comment ref="D19" authorId="0" shapeId="0" xr:uid="{750B89B6-E1B3-4FF2-9BF8-60D58A4438F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131M - 1 298 EUR
111 - 472 301 EUR
SPOLU - 473 599 EUR</t>
        </r>
      </text>
    </comment>
    <comment ref="E19" authorId="0" shapeId="0" xr:uid="{6CD77A45-8939-480B-81D1-2E21B008209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2 980 EUR z roku 2022
131L dopravné 112,66 EUR z roku 2022
Lyžiarsky (111)- 1 500 EUR
Vzdel. Poukazy (111) - 4 582 EUR
dig. Transf. (111) - 1 870 EUR
dopravné (111) - 950,74 EUR nevyčerpané 46,26 EUR
UP (11T2) - 16,60 EUR
predškoláci (111) - 11 831 EUR
asistent učiteľa (111) 14 376 EUR
špecifiká (11UA) - 23 330 EUR
odchdodné (111) - 0 EUR
ŠvP (111) - 2 100 EUR
edukačné publikácie (111) - 3 388 EUR</t>
        </r>
      </text>
    </comment>
    <comment ref="G19" authorId="0" shapeId="0" xr:uid="{39E3A232-9FDC-4456-84AF-D3F3ADD2F59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1AC1 - 9 419,13 EUR
1AC2 - 2 728,32 EUR
1AC3 - 680,32 EUR
1BB1 - 10 238,25 EUR
1BB2 - 1 806,75 EUR
3AC1 - 10 159,49 EUR
3AC2 - 1 362,38 EUR
3AC3 - 178,05 EUR
72 - 17 597,65 EUR</t>
        </r>
      </text>
    </comment>
    <comment ref="I19" authorId="0" shapeId="0" xr:uid="{DAFA7BC1-BFAB-425A-8F42-5EA61973E64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5 432 EUR</t>
        </r>
      </text>
    </comment>
    <comment ref="D20" authorId="0" shapeId="0" xr:uid="{00E7E5D2-CBD1-4B39-9254-ABF11041EC4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131M - 2 488 EUR
111 -902 237 EUR
SPOLU - 904 725 EUR</t>
        </r>
      </text>
    </comment>
    <comment ref="E20" authorId="0" shapeId="0" xr:uid="{32E5EB43-AFD9-4672-ACD9-63596A48481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3 052 EUR z roku 2022
131L dopravné 576,10 EUR z roku 2022
Lyžiarsky (111)- 5 100 EUR
Vzdel. Poukazy (111) - 4 602 EUR
dig. Transf. (111) - 4 660  EUR
dopravné (111) - 4 389,10 EUR nevyčerpané 566,90 EUR
UP (11T2) - 166 EUR
predškoláci (111) - 0 EUR
asistent učiteľa (111) 0 EUR
špecifiká (11UA) - 25 724 EUR
odchdodné (111) - 1 707 EUR
SZP (111) - 750 EUR
ŠvP (111) - 3 100 EUR
edukačné publikácie (111) - 8 653 EUR</t>
        </r>
      </text>
    </comment>
    <comment ref="G20" authorId="0" shapeId="0" xr:uid="{D71976FA-70E2-4CE7-8B1B-391B725B063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1BB1 - 8 190,60 EUR
1BB2 - 1445,40 EUR
72 - 27 099,74 EUR nevrátené 12 EUR</t>
        </r>
      </text>
    </comment>
    <comment ref="I20" authorId="0" shapeId="0" xr:uid="{7D34A7F2-13C9-4EF8-A6BC-BB6B4FD001E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8 775,30 EUR</t>
        </r>
      </text>
    </comment>
    <comment ref="D21" authorId="0" shapeId="0" xr:uid="{5C3AF6B2-E715-4169-9775-758AB1E194A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131M - 17 336,75 EUR + 4 618 EUR - 21 954,75 EUR
111 - 1 437 517 EUR
SPOLU - 1 459 471,75 EUR
škola vrátila 1 900 EUR</t>
        </r>
      </text>
    </comment>
    <comment ref="E21" authorId="0" shapeId="0" xr:uid="{03C489B3-433E-46CD-971B-F839CA999E9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5 014 EUR z roku 2022
131L dopravné 2 020,50 EUR z roku 2022
Lyžiarsky (111)- 6 600 EUR
Vzdel. Poukazy (111) - 7 994 EUR
dig. Transf. (111) - 9 320 EUR
dopravné (111)- 8 636,40 EUR nevyčerpané 1 560,60 EUR
UP (11T2) - 33,20 EUR
predškoláci (111) - 6 078 EUR
asistent učiteľa (111) - 28 752 EUR
špecifiká (11UA) - 39 350 EUR
odchdodné (111) - 1 515 EUR
ŠvP (111) - 5 500 EUR
edukačné publikácie (111) - 13 911 EUR</t>
        </r>
      </text>
    </comment>
    <comment ref="G21" authorId="0" shapeId="0" xr:uid="{202E05F6-60A4-4A78-884D-0F1443346D5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1AC1 - 17 524,63 EUR
1AC2 - 3 092,56 EUR
1AC3 - 1 411,36 EUR
1BB1 - 23 552,33 EUR - 1 987,71 EUR
1BB2 - 4 156,29 EUR - 350,78 EUR
3AC1 - 24 318,16 EUR
3AC2 -  4 291,43 EUR
3AC3 - 5 991,73 EUR
72 - 58 573,77 EUR</t>
        </r>
      </text>
    </comment>
    <comment ref="I21" authorId="0" shapeId="0" xr:uid="{9655AF0D-C2E6-4184-A8D3-3ED87D5976E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18 504,30 EUR</t>
        </r>
      </text>
    </comment>
    <comment ref="D22" authorId="0" shapeId="0" xr:uid="{91C30FA5-A34C-4631-A7F8-D7838BB0F31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131M - 11 136,77 EUR + 4 337 EUR = 15 473,77 EUR
111 - 1 277 984 EUR
11UA - 2 373 EUR
SPOLU - 1 295 830,77 EUR 
škola vrátila 29 500 EUR</t>
        </r>
      </text>
    </comment>
    <comment ref="E22" authorId="0" shapeId="0" xr:uid="{F14D11A8-7167-4388-B607-C5D8EB5A4A7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3 488 EUR z roku 2022
131M dopravné 2 446,25 EUR z roku 2022
Lyžiarsky (111)- 4 050 EUR
Vzdel. Poukazy (111) - 8 666 EUR
dig. Transf. (111) - 4 660 EUR
dopravné (111) - 7 998,65 EUR, nevyčerpané 938,35 EUR
UP (11T2) - 83 EUR
predškoláci (111) - 0 EUR
asistent učiteľa (111) 57 504 EUR
špecifiká (11UA) - 23 544 EUR
odchdodné (111) - 3 535 EUR
SZP (111) - 100 EUR
ŠvP (111) - 6 100 EUR
edukačné publikácie (111) - 11 077 EUR
111 - 103 690,65 EUR
11UA - 27 032 EUR
131M - 2 446,25 EUR
11T2 - 83 EUR</t>
        </r>
      </text>
    </comment>
    <comment ref="G22" authorId="0" shapeId="0" xr:uid="{6C07117C-E3FD-4E89-8CAE-939B9B2FA29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1AC1 -64 123,83 EUR
1AC2 - 12 958,51 EUR
1BB1 - 10 304,18 EUR
1BB2 -  1 818,39 EUR
3AC1 - 17 290,71 EUR
3AC2 - 5 245,89 EUR
3AC3 - 623,18 EUR
72 - 43 089,32 EUR</t>
        </r>
      </text>
    </comment>
    <comment ref="I22" authorId="0" shapeId="0" xr:uid="{BB11D14E-9528-4CE8-B8A1-B6759F1A25A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7 625,90 EUR</t>
        </r>
      </text>
    </comment>
    <comment ref="D23" authorId="0" shapeId="0" xr:uid="{38B31864-272E-44C2-B991-E6DD9EBFA77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131M - 11 835,46 EUR + 3 093 EUR = 14 928,46 EUR
111 - 937 968 EUR
SPOLU - 952 896,46 EUR
škola vrátila 60 000 EUR PK KV</t>
        </r>
      </text>
    </comment>
    <comment ref="E23" authorId="0" shapeId="0" xr:uid="{074E57DA-BD07-4EB4-9323-FBC1954B0BE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9 156 EUR z roku 2022
131L dopravné 553,46 EUR z roku 2022
Lyžiarsky (111)- 3 750  EUR
Vzdel. Poukazy (111) - 8 371 EUR
dig. Transf. (111) - 4 660 EUR
dopravné (111) - 4 696,44 EUR nevyčerpané 464,56EUR
UP (11T2) - 166 EUR
predškoláci (111) - 0 EUR
asistent učiteľa (111) 14 376 EUR
špecifiká (11UA) - 67 580 EUR
odchdodné (111) - 3 298 EUR
SZP (111) - 150 EUR
ŠvP (111) - 2 600 EUR
Deň Ukrajiny (35) - 1 360,14 EUR
edukačné publikácie (111) - 9 100 EUR</t>
        </r>
      </text>
    </comment>
    <comment ref="G23" authorId="0" shapeId="0" xr:uid="{E73D845C-D8B8-48E8-98B3-F9FD9F40311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1AC1 - 46 209,57 EUR
1AC2 - 10 091,85 EUR
1BB1 - 21 581,50 EUR
1BB2 - 3 808,50 EUR
3AC1 - 5 869,27 EUR
3AC2 - 1 538,51 EUR
3AC3 - 445,13 EUR
72 - 24 031,76 EUR</t>
        </r>
      </text>
    </comment>
    <comment ref="I23" authorId="0" shapeId="0" xr:uid="{8A135040-9ABB-4179-8048-AF3ADA3A799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12 792,80 EUR</t>
        </r>
      </text>
    </comment>
    <comment ref="D24" authorId="0" shapeId="0" xr:uid="{C6DD2B4A-0E4A-4FD1-92F4-8C792983E0E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131M - 1 698 EUR
111 - 583 154 EUR 
SPOLU - 584 852 EUR</t>
        </r>
      </text>
    </comment>
    <comment ref="E24" authorId="0" shapeId="0" xr:uid="{08C3F178-42B7-4764-AB76-65F07A6DE21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131L dopravné 858,37 EUR z roku 2022
Lyžiarsky (111)- 1 500 EUR
Vzdel. Poukazy (111) - 5 235 EUR
dig. Transf. (111) - 1 870 EUR
dopravné (111) - 4 926,53 EUR nevyčerpané 332,47 EUR
UP (11T2) - 0 EUR
predškoláci (111) - 6 773 EUR
asistent učiteľa (111) 14 376 EUR
špecifiká (11UA) - 0 EUR
odchdodné (111) - 2 615 EUR
ŠvP (111) - 800 EUR
edukačné publikácie (111) -5 891 EUR</t>
        </r>
      </text>
    </comment>
    <comment ref="G24" authorId="0" shapeId="0" xr:uid="{FEE47593-F2AE-4ED8-82D8-50C4145E4CC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POP:
1BB1 - 4 095,30 EUR
1BB2 - 722,70 EUR
72 - 14 655,90 EUR
</t>
        </r>
      </text>
    </comment>
    <comment ref="I24" authorId="0" shapeId="0" xr:uid="{9C39346E-C813-4E86-8821-7342F2C1C3A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4 039,40 EUR</t>
        </r>
      </text>
    </comment>
    <comment ref="E27" authorId="0" shapeId="0" xr:uid="{8D8B534F-3546-4C16-8432-41BE3473DFD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Vzdel. Poukazy (111) - 2 451 EUR</t>
        </r>
      </text>
    </comment>
    <comment ref="E28" authorId="0" shapeId="0" xr:uid="{F3247CE5-B27A-4EA6-93FF-88066974108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UP (11T2) - 0 EUR</t>
        </r>
      </text>
    </comment>
  </commentList>
</comments>
</file>

<file path=xl/sharedStrings.xml><?xml version="1.0" encoding="utf-8"?>
<sst xmlns="http://schemas.openxmlformats.org/spreadsheetml/2006/main" count="1125" uniqueCount="783">
  <si>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</si>
  <si>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</si>
  <si>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</si>
  <si>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</si>
  <si>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</si>
  <si>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</si>
  <si>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</si>
  <si>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</si>
  <si>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</si>
  <si>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</si>
  <si>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</si>
  <si>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</si>
  <si>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</si>
  <si>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</si>
  <si>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</si>
  <si>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</si>
  <si>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</si>
  <si>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</si>
  <si>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</si>
  <si>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</si>
  <si>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</si>
  <si>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</si>
  <si>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</si>
  <si>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</si>
  <si>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</si>
  <si>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</si>
  <si>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</si>
  <si>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</si>
  <si>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</si>
  <si>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</si>
  <si>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</si>
  <si>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</si>
  <si>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</si>
  <si>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</si>
  <si>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</si>
  <si>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</si>
  <si>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</si>
  <si>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</si>
  <si>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</si>
  <si>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</si>
  <si>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</si>
  <si>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</si>
  <si>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</si>
  <si>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</si>
  <si>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</si>
  <si>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</si>
  <si>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</si>
  <si>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</si>
  <si>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</si>
  <si>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</si>
  <si>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</si>
  <si>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</si>
  <si>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</si>
  <si>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</si>
  <si>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</si>
  <si>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</si>
  <si>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</si>
  <si>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</si>
  <si>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</si>
  <si>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</si>
  <si>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</si>
  <si>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</si>
  <si>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</si>
  <si>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</si>
  <si>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</si>
  <si>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</si>
  <si>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</si>
  <si>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</si>
  <si>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</si>
  <si>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</si>
  <si>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</si>
  <si>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</si>
  <si>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</si>
  <si>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</si>
  <si>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</si>
  <si>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</si>
  <si>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</si>
  <si>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</si>
  <si>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</si>
  <si>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</si>
  <si>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</si>
  <si>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</si>
  <si>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</si>
  <si>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</si>
  <si>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</si>
  <si>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</si>
  <si>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</si>
  <si>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</si>
  <si>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</si>
  <si>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</si>
  <si>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</si>
  <si>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</si>
  <si>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</si>
  <si>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</si>
  <si>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</si>
  <si>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</si>
  <si>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</si>
  <si>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</si>
  <si>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</si>
  <si>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</si>
  <si>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</si>
  <si>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</si>
  <si>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</si>
  <si>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</si>
  <si>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</si>
  <si>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</si>
  <si>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</si>
  <si>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</si>
  <si>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</si>
  <si>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</si>
  <si>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</si>
  <si>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</si>
  <si>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</si>
  <si>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</si>
  <si>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</si>
  <si>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</si>
  <si>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</si>
  <si>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</si>
  <si>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</si>
  <si>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</si>
  <si>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</si>
  <si>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</si>
  <si>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</si>
  <si>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</si>
  <si>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</si>
  <si>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</si>
  <si>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</si>
  <si>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</si>
  <si>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</si>
  <si>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</si>
  <si>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</si>
  <si>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</si>
  <si>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</si>
  <si>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</si>
  <si>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</si>
  <si>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</si>
  <si>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</si>
  <si>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</si>
  <si>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</si>
  <si>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</si>
  <si>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</si>
  <si>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</si>
  <si>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</si>
  <si>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</si>
  <si>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</si>
  <si>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</si>
  <si>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</si>
  <si>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</si>
  <si>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</si>
  <si>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</si>
  <si>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</si>
  <si>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</si>
  <si>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</si>
  <si>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</si>
  <si>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</si>
  <si>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</si>
  <si>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</si>
  <si>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</si>
  <si>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</si>
  <si>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</si>
  <si>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</si>
  <si>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</si>
  <si>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</si>
  <si>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</si>
  <si>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</si>
  <si>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</si>
  <si>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</si>
  <si>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</si>
  <si>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</si>
  <si>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</si>
  <si>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</si>
  <si>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</si>
  <si>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</si>
  <si>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</si>
  <si>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</si>
  <si>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</si>
  <si>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</si>
  <si>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</si>
  <si>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</si>
  <si>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</si>
  <si>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</si>
  <si>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</si>
  <si>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</si>
  <si>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</si>
  <si>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</si>
  <si>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</si>
  <si>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</si>
  <si>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</si>
  <si>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</si>
  <si>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</si>
  <si>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</si>
  <si>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</si>
  <si>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</si>
  <si>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</si>
  <si>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</si>
  <si>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</si>
  <si>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</si>
  <si>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</si>
  <si>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</si>
  <si>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</si>
  <si>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</si>
  <si>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</si>
  <si>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</si>
  <si>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</si>
  <si>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</si>
  <si>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</si>
  <si>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</si>
  <si>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</si>
  <si>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</si>
  <si>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</si>
  <si>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</si>
  <si>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</si>
  <si>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</si>
  <si>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</si>
  <si>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</si>
  <si>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</si>
  <si>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</si>
  <si>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</si>
  <si>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</si>
  <si>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</si>
  <si>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</si>
  <si>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</si>
  <si>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</si>
  <si>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</si>
  <si>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</si>
  <si>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</si>
  <si>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</si>
  <si>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</si>
  <si>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</si>
  <si>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</si>
  <si>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</si>
  <si>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</si>
  <si>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</si>
  <si>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</si>
  <si>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</si>
  <si>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</si>
  <si>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</si>
  <si>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</si>
  <si>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</si>
  <si>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</si>
  <si>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</si>
  <si>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</si>
  <si>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</si>
  <si>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</si>
  <si>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</si>
  <si>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</si>
  <si>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</si>
  <si>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</si>
  <si>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</si>
  <si>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</si>
  <si>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</si>
  <si>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</si>
  <si>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</si>
  <si>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</si>
  <si>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</si>
  <si>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</si>
  <si>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</si>
  <si>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</si>
  <si>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</si>
  <si>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</si>
  <si>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</si>
  <si>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</si>
  <si>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</si>
  <si>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</si>
  <si>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</si>
  <si>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</si>
  <si>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</si>
  <si>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</si>
  <si>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</si>
  <si>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</si>
  <si>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</si>
  <si>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</si>
  <si>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</si>
  <si>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</si>
  <si>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</si>
  <si>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</si>
  <si>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</si>
  <si>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</si>
  <si>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</si>
  <si>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</si>
  <si>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</si>
  <si>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</si>
  <si>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</si>
  <si>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</si>
  <si>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</si>
  <si>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</si>
  <si>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</si>
  <si>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</si>
  <si>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</si>
  <si>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</si>
  <si>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</si>
  <si>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</si>
  <si>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</si>
  <si>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</si>
  <si>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</si>
  <si>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</si>
  <si>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</si>
  <si>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</si>
  <si>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</si>
  <si>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</si>
  <si>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</si>
  <si>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</si>
  <si>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</si>
  <si>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</si>
  <si>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</si>
  <si>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</si>
  <si>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</si>
  <si>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</si>
  <si>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</si>
  <si>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</si>
  <si>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</si>
  <si>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</si>
  <si>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</si>
  <si>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</si>
  <si>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</si>
  <si>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</si>
  <si>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</si>
  <si>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</si>
  <si>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</si>
  <si>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</si>
  <si>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</si>
  <si>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</si>
  <si>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</si>
  <si>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</si>
  <si>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</si>
  <si>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</si>
  <si>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</si>
  <si>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</si>
  <si>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</si>
  <si>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</si>
  <si>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</si>
  <si>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</si>
  <si>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</si>
  <si>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</si>
  <si>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</si>
  <si>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</si>
  <si>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</si>
  <si>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</si>
  <si>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</si>
  <si>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</si>
  <si>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</si>
  <si>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</si>
  <si>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</si>
  <si>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</si>
  <si>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</si>
  <si>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</si>
  <si>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</si>
  <si>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</si>
  <si>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</si>
  <si>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</si>
  <si>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</si>
  <si>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</si>
  <si>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</si>
  <si>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</si>
  <si>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</si>
  <si>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</si>
  <si>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</si>
  <si>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</si>
  <si>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</si>
  <si>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</si>
  <si>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</si>
  <si>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</si>
  <si>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</si>
  <si>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</si>
  <si>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</si>
  <si>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</si>
  <si>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</si>
  <si>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</si>
  <si>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</si>
  <si>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</si>
  <si>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</si>
  <si>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</si>
  <si>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</si>
  <si>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</si>
  <si>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</si>
  <si>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</si>
  <si>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</si>
  <si>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</si>
  <si>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</si>
  <si>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</si>
  <si>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</si>
  <si>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</si>
  <si>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</si>
  <si>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</si>
  <si>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</si>
  <si>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</si>
  <si>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</si>
  <si>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</si>
  <si>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</si>
  <si>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</si>
  <si>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</si>
  <si>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</si>
  <si>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</si>
  <si>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</si>
  <si>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</si>
  <si>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</si>
  <si>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</si>
  <si>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</si>
  <si>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</si>
  <si>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</si>
  <si>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</si>
  <si>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</si>
  <si>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</si>
  <si>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</si>
  <si>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</si>
  <si>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</si>
  <si>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</si>
  <si>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</si>
  <si>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</si>
  <si>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</si>
  <si>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</si>
  <si>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</si>
  <si>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</si>
  <si>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</si>
  <si>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</si>
  <si>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</si>
  <si>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</si>
  <si>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</si>
  <si>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</si>
  <si>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</si>
  <si>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</si>
  <si>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</si>
  <si>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</si>
  <si>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</si>
  <si>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</si>
  <si>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</si>
  <si>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</si>
  <si>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</si>
  <si>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</si>
  <si>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</si>
  <si>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</si>
  <si>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</si>
  <si>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</si>
  <si>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</si>
  <si>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</si>
  <si>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</si>
  <si>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</si>
  <si>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</si>
  <si>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</si>
  <si>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</si>
  <si>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</si>
  <si>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</si>
  <si>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</si>
  <si>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</si>
  <si>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</si>
  <si>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</si>
  <si>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</si>
  <si>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</si>
  <si>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</si>
  <si>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</si>
  <si>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</si>
  <si>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</si>
  <si>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</si>
  <si>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</si>
  <si>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</si>
  <si>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</si>
  <si>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</si>
  <si>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</si>
  <si>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</si>
  <si>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Tenis</t>
  </si>
  <si>
    <t>223 príjmy školské jedálne - potraviny</t>
  </si>
  <si>
    <t>Podprog. 9.8.</t>
  </si>
  <si>
    <t>Školské jedálne - potraviny</t>
  </si>
  <si>
    <t>500 úver ŠFRB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</si>
  <si>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</si>
  <si>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</si>
  <si>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</si>
  <si>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</si>
  <si>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</si>
  <si>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</si>
  <si>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</si>
  <si>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</si>
  <si>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</si>
  <si>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</si>
  <si>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</si>
  <si>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</si>
  <si>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</si>
  <si>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</si>
  <si>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</si>
  <si>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</si>
  <si>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</si>
  <si>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</si>
  <si>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</si>
  <si>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</si>
  <si>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</si>
  <si>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</si>
  <si>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</si>
  <si>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</si>
  <si>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</si>
  <si>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</si>
  <si>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</si>
  <si>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</si>
  <si>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</si>
  <si>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</si>
  <si>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</si>
  <si>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</si>
  <si>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</si>
  <si>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</si>
  <si>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</si>
  <si>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</si>
  <si>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</si>
  <si>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</si>
  <si>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</si>
  <si>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</si>
  <si>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</si>
  <si>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</si>
  <si>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</si>
  <si>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</si>
  <si>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</si>
  <si>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</si>
  <si>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</si>
  <si>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</si>
  <si>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</si>
  <si>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</si>
  <si>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</si>
  <si>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</si>
  <si>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</si>
  <si>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</si>
  <si>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</si>
  <si>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</si>
  <si>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</si>
  <si>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</si>
  <si>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</si>
  <si>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</si>
  <si>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</si>
  <si>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</si>
  <si>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</si>
  <si>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</si>
  <si>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</si>
  <si>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</si>
  <si>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</si>
  <si>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</si>
  <si>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</si>
  <si>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</si>
  <si>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</si>
  <si>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</si>
  <si>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</si>
  <si>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</si>
  <si>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</si>
  <si>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</si>
  <si>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</si>
  <si>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</si>
  <si>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</si>
  <si>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</si>
  <si>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</si>
  <si>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Skutočnosť školstvo spolu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</si>
  <si>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</si>
  <si>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</si>
  <si>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</si>
  <si>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</si>
  <si>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</si>
  <si>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</si>
  <si>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</si>
  <si>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</si>
  <si>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</si>
  <si>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</si>
  <si>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</si>
  <si>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133015 daň za rozvoj</t>
  </si>
  <si>
    <t>321 dotácia MsKS Šaľa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</si>
  <si>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</si>
  <si>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</si>
  <si>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</si>
  <si>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</si>
  <si>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</si>
  <si>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</si>
  <si>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</si>
  <si>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</si>
  <si>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</si>
  <si>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</si>
  <si>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</si>
  <si>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</si>
  <si>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</si>
  <si>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</si>
  <si>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</si>
  <si>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</si>
  <si>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</si>
  <si>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</si>
  <si>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</si>
  <si>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12.</t>
  </si>
  <si>
    <t>311 grant WIFI</t>
  </si>
  <si>
    <t>312 dotácia COVID</t>
  </si>
  <si>
    <t>vlastné príjmy 200</t>
  </si>
  <si>
    <t>vlastné príjmy 300</t>
  </si>
  <si>
    <t>312 dotácia MsKJJ</t>
  </si>
  <si>
    <t>240, 290 ostatné príjmy</t>
  </si>
  <si>
    <t>plnenie 2021</t>
  </si>
  <si>
    <t>skutočnosť 2021</t>
  </si>
  <si>
    <t>plnenie rozpočtu 2021</t>
  </si>
  <si>
    <t>312 dotácia DK Šaľa - publicita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</si>
  <si>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</si>
  <si>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</si>
  <si>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</si>
  <si>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</si>
  <si>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</si>
  <si>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</si>
  <si>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</si>
  <si>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</si>
  <si>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</si>
  <si>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</si>
  <si>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312 dotácia Úrad vlády - vojnové hroby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</si>
  <si>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</si>
  <si>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</si>
  <si>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</si>
  <si>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</si>
  <si>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</si>
  <si>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500 kontokorentný úver, preklenovací úver</t>
  </si>
  <si>
    <t>223 vlastné príjmy škôl a školských zariadení z poplatkov</t>
  </si>
  <si>
    <t>211, 212 príjem z prenájmu v školských zariadeniach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</si>
  <si>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</si>
  <si>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</si>
  <si>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</si>
  <si>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</si>
  <si>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</si>
  <si>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</si>
  <si>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</si>
  <si>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</si>
  <si>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</si>
  <si>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plnenie rozpočtu 2022</t>
  </si>
  <si>
    <t>321 dotácia SMART</t>
  </si>
  <si>
    <t>321 dotácia - dopravné ihrisko</t>
  </si>
  <si>
    <t>13.</t>
  </si>
  <si>
    <t>SMART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</si>
  <si>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</si>
  <si>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</si>
  <si>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</si>
  <si>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</si>
  <si>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</si>
  <si>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</si>
  <si>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</si>
  <si>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</si>
  <si>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</si>
  <si>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</si>
  <si>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</si>
  <si>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>Svetelná signalizácia</t>
  </si>
  <si>
    <t xml:space="preserve">321 grant JUVAMEN  </t>
  </si>
  <si>
    <t xml:space="preserve">312 dotácia MPSVaR SR </t>
  </si>
  <si>
    <t>Nízkoprahové denné centrum</t>
  </si>
  <si>
    <t>Čerpanie výdavkov rozpočtu v RO</t>
  </si>
  <si>
    <t>Plnenie príjmov rozpočtu RO</t>
  </si>
  <si>
    <t>SPOLU</t>
  </si>
  <si>
    <t>rozpočet 2023</t>
  </si>
  <si>
    <t>plnenie 2023</t>
  </si>
  <si>
    <t>Tabuľka č. 1 Plnenie  príjmov rozpočtu v roku 2023</t>
  </si>
  <si>
    <t xml:space="preserve">  Tabuľka č. 2 Čerpanie výdavkov rozpočtu v roku 2023</t>
  </si>
  <si>
    <t>skutočnosť 2023</t>
  </si>
  <si>
    <t>plnenie rozpočtu 2023</t>
  </si>
  <si>
    <t>Tabuľka č. 3 Sumár príjmov a výdavkov rozpočtu v roku 2023</t>
  </si>
  <si>
    <t>311 grant SMART</t>
  </si>
  <si>
    <t>311 grant kybernetická bezpečnosť</t>
  </si>
  <si>
    <t>311 grant predstanočný priestor</t>
  </si>
  <si>
    <t>321 dotácia predstaničný priestor</t>
  </si>
  <si>
    <t>investície 2023</t>
  </si>
  <si>
    <t>3.</t>
  </si>
  <si>
    <t>Kybernetická bezpečnosť</t>
  </si>
  <si>
    <t>Predstaničný priestor</t>
  </si>
  <si>
    <t>Ihrisko ČSLA - Nešporova</t>
  </si>
  <si>
    <t xml:space="preserve">Tabuľka č. 4 Investície 2023 </t>
  </si>
  <si>
    <t>špecifiká - UA</t>
  </si>
  <si>
    <t>čerpanie 2023</t>
  </si>
  <si>
    <t>Skutočnosť 2023</t>
  </si>
  <si>
    <t>9.</t>
  </si>
  <si>
    <t>Krízové centrum - strecha</t>
  </si>
  <si>
    <t>ZŠ s MŠ J. Murgaša - detské ihrisko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</si>
  <si>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</si>
  <si>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</si>
  <si>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</si>
  <si>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</si>
  <si>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</si>
  <si>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Rekonštrukcia priestorov MsP</t>
  </si>
  <si>
    <t>MsP - klimatizácia</t>
  </si>
  <si>
    <t>Automobil - terénna. opatrov. strarostlivosť</t>
  </si>
  <si>
    <t>Parkovisko - cintorín</t>
  </si>
  <si>
    <t>11.</t>
  </si>
  <si>
    <t>DK - chladiace zariadenie</t>
  </si>
  <si>
    <t>312 Dotácia na zmiernenie inflácie</t>
  </si>
  <si>
    <t>321 dotácia fotovoltika</t>
  </si>
  <si>
    <t>321 dotácia ihriská</t>
  </si>
  <si>
    <t>ZŠ Ľ. Štúra - havárie</t>
  </si>
  <si>
    <t>Ihrisko Kpt. Jaroša</t>
  </si>
  <si>
    <t>MsÚ - fotovoltika</t>
  </si>
  <si>
    <t>321 dotácia MŠ Budovateľská</t>
  </si>
  <si>
    <t>digitálna transformácia</t>
  </si>
  <si>
    <t>Deň Ukrajiny</t>
  </si>
  <si>
    <t>220,320</t>
  </si>
  <si>
    <t>Tabuľka č. 5  Úverová zaťaženosť mesta k 31.12. 2023 v EUR</t>
  </si>
  <si>
    <t>P.č.</t>
  </si>
  <si>
    <t>Veriteľ</t>
  </si>
  <si>
    <t>Pôvodná výška úveru</t>
  </si>
  <si>
    <t>Dátum podpísania úverovej zmluvy</t>
  </si>
  <si>
    <t>Dátum splatnosti úveru</t>
  </si>
  <si>
    <t>Výška nesplat. istiny k 31.12. 2021 v EUR</t>
  </si>
  <si>
    <t>Výška nesplat. istiny k 31.12. 2022 v EUR</t>
  </si>
  <si>
    <t>Výška nesplat. istiny k 31.12. 2023 v EUR</t>
  </si>
  <si>
    <t>Aktuálna úroková sadzba</t>
  </si>
  <si>
    <t xml:space="preserve">Periodicita splácania </t>
  </si>
  <si>
    <t>Účel úveru</t>
  </si>
  <si>
    <t>ročná splátka úrokov a poplatkov v roku 2023</t>
  </si>
  <si>
    <t>ročná splátka istiny v roku 2023</t>
  </si>
  <si>
    <t>ŠFRB II</t>
  </si>
  <si>
    <t>521 tis. EUR</t>
  </si>
  <si>
    <t>31.1. 2032</t>
  </si>
  <si>
    <t>mesačne                            2 455,12 EUR (istina a úrok)</t>
  </si>
  <si>
    <t>výstavba nájomných bytov</t>
  </si>
  <si>
    <t>2.</t>
  </si>
  <si>
    <t>ŠFRB I</t>
  </si>
  <si>
    <t>1 317 tis. EUR</t>
  </si>
  <si>
    <t>mesačne                               6 213,93 EUR (istina a úrok)</t>
  </si>
  <si>
    <t>ŠFRB III</t>
  </si>
  <si>
    <t>1 514 tis. EUR</t>
  </si>
  <si>
    <t>30.10.2058</t>
  </si>
  <si>
    <t>mesačne                               3 828,24 EUR (istina a úrok)</t>
  </si>
  <si>
    <t>výstavba 34 nájomných bytov Kráľovská ul.</t>
  </si>
  <si>
    <t>4.</t>
  </si>
  <si>
    <t>ŠFRB IV</t>
  </si>
  <si>
    <t>5 084 tis. EUR</t>
  </si>
  <si>
    <t>30.10.2059</t>
  </si>
  <si>
    <t>mesačne                              12 855,20 EUR (istina a úrok)</t>
  </si>
  <si>
    <t>výstavba 116 nájomných bytov Kráľovská ul.</t>
  </si>
  <si>
    <t>Reštrukturalizovaný úver UniCredit Bank Czech Republic and Slovakia, a. s.</t>
  </si>
  <si>
    <t>5 821 189,35 EUR</t>
  </si>
  <si>
    <t>29.12.2034</t>
  </si>
  <si>
    <t>12M+0,18%</t>
  </si>
  <si>
    <t>štvrťročne istina 111 946 EUR od 31.3.2022, úrok mesačne</t>
  </si>
  <si>
    <t>Domov dôchodcov, CMZ, OPŽP, rekonštrukcia MsÚ, MK Horná, Feketeházy, skate park, 3. etapa VO, kontajnery, SD Veča, dopravný generej, projektová dokumentácia, ZŠ Ľ. Štúra -kanalizácia a rekonštrukcia, cyklotrasa - výkup pozemkov, revitalizácia vnútrobloku vo Veči, ihrisko Ul. 8. mája, SD Veča, skate park, učebne v ZŠ, klimatizácia COV, ZUŠ-elektorinštalačné práce, 3. etapa rekonštrukcie VO, rekonštrukcia MŠ Družstevná, CVČ - rekonštrukcia kanalizácie,  projektová dukumetácia, ihrisko MAJK, MK Horná, rekonštrukcia chodníkov, technicá vybavenosť k bytom Kráľovská ul.,  ZŠ Hollého - strecha, MŠ Okružná - rekonštrukcia soc. zariadení, rekonštrukcia ZŠ Ľ. Štúra, kopírovacie zariadenia MsÚ, projektová dokumentácia k rekonštrukcii DK Šaľa, revitalizácia lesoparku, záchytné parkovisko - predstaničný priestor a cyklotrasa smer Diakovce.</t>
  </si>
  <si>
    <t>6.</t>
  </si>
  <si>
    <t>31.12.2023</t>
  </si>
  <si>
    <t>3M+0,12%</t>
  </si>
  <si>
    <t>štvrťročne istina      9 615 EUR , od 31.03.2024, úrok mesačne</t>
  </si>
  <si>
    <t>plaváreň, stanovištia kontajnerov</t>
  </si>
  <si>
    <t>ČSOB</t>
  </si>
  <si>
    <t>MF SR - Návratná finančná výpomoc</t>
  </si>
  <si>
    <t>31.10.2027</t>
  </si>
  <si>
    <t>bezúročné</t>
  </si>
  <si>
    <t>verejné osvetlenie - údržba a elektrická energia, údržba mestských komunikácií, MHD, stočné dažďová voda</t>
  </si>
  <si>
    <t>8.</t>
  </si>
  <si>
    <t>KTK UniCredit Bank Czech Republic and Slovakia, a. s.</t>
  </si>
  <si>
    <t>1M+0,18%</t>
  </si>
  <si>
    <t>preklen. UniCredit Bank Czech Republic and Slovakia, a. s.</t>
  </si>
  <si>
    <t>jednorazovo po pripísaní NFP</t>
  </si>
  <si>
    <t>Výška nesplatenenej istiny, ktorá vchádza do úverovej zaťaženosti (bez úverov ŠFRB, preklenovacích úverov a KTK) k 31.12.2023</t>
  </si>
  <si>
    <t>Výška  istiny vrátane úhrady úrokov a poplatkov  (bez ich jednorazového predčasného splatenia) zaplatených v roku 2023</t>
  </si>
  <si>
    <t xml:space="preserve">Bežné príjmy v roku 2022 </t>
  </si>
  <si>
    <t>Bežné príjmy v roku 2022 znížené o prostriedky z rozpočtu iného subjektu verejnej správy a EÚ</t>
  </si>
  <si>
    <t>Bežné príjmy v roku 2023 znížené o prostriedky z rozpočtu iného subjektu verejnej správy a EÚ</t>
  </si>
  <si>
    <t>Úverová zaťaženosť mesta k 31.12.2023 v zmysle zákona č. 583/2004 Z.z. o rozpočtových pravidlách (max 60 %)</t>
  </si>
  <si>
    <t xml:space="preserve">Podiel splátky istiny vrátane úhrady úrokov a poplatkov (bez ich jednorazového predčasného splatenia.) na BP mesta za rok 2022 (max 25%) znížených o prostriedky z rozpočtu iného subjektu verejnej správy v EÚ </t>
  </si>
  <si>
    <t>Podiel splátky istiny vrátane úhrady úrokov a poplatkov (bez ich jednorazového predčasného splatenia.) na BP mesta  za rok 2023 (max 25%) znížených o prostriedky z rozpočtu iného subjektu verejnej správy v EÚ</t>
  </si>
  <si>
    <t>splátka bola samosprávam odpustená</t>
  </si>
  <si>
    <t>31.08.2024</t>
  </si>
  <si>
    <t>1M+0,31%</t>
  </si>
  <si>
    <t>preklenovací úver na rekonštrukciu predstaničného priestoru a projekt SMART vo výške očakávaného NFP</t>
  </si>
  <si>
    <t>31.12.2036</t>
  </si>
  <si>
    <t>1M+0,40%</t>
  </si>
  <si>
    <t>mesačne istina 7 389 EUR , od 25.3.2025, úrok mesačne</t>
  </si>
  <si>
    <t>27.02.2040</t>
  </si>
  <si>
    <t>rekonštrukcia ciest, predstaničného priestoru, parkoviska pri cintoríne, DK a projektová dokumnetácia k plavárni</t>
  </si>
  <si>
    <t>UniCredit Bank Czech Republic and Slovakia, a. s.</t>
  </si>
  <si>
    <t>rekonštrukcia verejného osvetlenia</t>
  </si>
  <si>
    <t>rekonštrukcia mestských komunikácii</t>
  </si>
  <si>
    <t>ročná istina      115 000 EUR</t>
  </si>
  <si>
    <t>ročná istina      226 899,96 EUR</t>
  </si>
  <si>
    <t>EUROVIA SK s.r.o.</t>
  </si>
  <si>
    <t>25.11.2031</t>
  </si>
  <si>
    <t>Siemens s.r.o.</t>
  </si>
  <si>
    <t>31.7.2028</t>
  </si>
  <si>
    <t>23.05.2026</t>
  </si>
  <si>
    <t>ročná istina      493 591,93 EUR</t>
  </si>
  <si>
    <t>rekonštrukcia DK</t>
  </si>
  <si>
    <t>Menert s.r.o.</t>
  </si>
  <si>
    <t>1 330 000 EUR</t>
  </si>
  <si>
    <t>818 235,88 EUR</t>
  </si>
  <si>
    <t>2 269 000 EUR</t>
  </si>
  <si>
    <t>1 974 367,7 EUR</t>
  </si>
  <si>
    <t>474 914 EUR</t>
  </si>
  <si>
    <t>1 200 000 EUR</t>
  </si>
  <si>
    <t>3 700 000 EUR</t>
  </si>
  <si>
    <t>MŠ Budovateľská - rekonštrukcia kanalizácie</t>
  </si>
  <si>
    <t>MŠ Družstevná - rekonštrukcia strechy</t>
  </si>
  <si>
    <t>ZŠ J. C. Hronského - sporák, plynová pavna do ŠJ, dostavba predeľovacích stien</t>
  </si>
  <si>
    <t>ZŠ Hollého - plynový sporák ŠJ, rekonštrukcia bleskozvodov</t>
  </si>
  <si>
    <t>Tabuľka č. 6  Plnenie príjmov a čerpanie výdavkov rozpočtových organizácií a spolu mesta Šaľa</t>
  </si>
  <si>
    <t>Plaváreň - PD</t>
  </si>
  <si>
    <t>Ihriská Bernolákova, Murgaša, P.J. Šafárika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</si>
</sst>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8"/>
      <name val="Arial CE"/>
      <charset val="238"/>
    </font>
    <font>
      <b/>
      <sz val="9"/>
      <color indexed="8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FFFF00"/>
        <bgColor indexed="64"/>
      </patternFill>
    </fill>
  </fills>
  <borders count="18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46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3" fontId="51" fillId="0" borderId="78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4" xfId="0" applyFont="1" applyBorder="1" applyAlignment="1">
      <alignment horizontal="left"/>
    </xf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0" fontId="45" fillId="0" borderId="118" xfId="1" applyFont="1" applyBorder="1"/>
    <xf numFmtId="0" fontId="45" fillId="0" borderId="119" xfId="1" applyFont="1" applyBorder="1"/>
    <xf numFmtId="0" fontId="45" fillId="0" borderId="8" xfId="1" applyFont="1" applyBorder="1"/>
    <xf numFmtId="0" fontId="45" fillId="0" borderId="120" xfId="1" applyFont="1" applyBorder="1"/>
    <xf numFmtId="0" fontId="2" fillId="0" borderId="7" xfId="1" applyFont="1" applyBorder="1"/>
    <xf numFmtId="0" fontId="6" fillId="0" borderId="120" xfId="1" applyFont="1" applyBorder="1"/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44" fillId="0" borderId="122" xfId="1" applyNumberFormat="1" applyFont="1" applyBorder="1"/>
    <xf numFmtId="3" fontId="14" fillId="0" borderId="86" xfId="1" applyNumberFormat="1" applyFont="1" applyBorder="1" applyAlignment="1">
      <alignment horizontal="center" wrapText="1"/>
    </xf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3" fontId="37" fillId="0" borderId="127" xfId="1" applyNumberFormat="1" applyFont="1" applyBorder="1"/>
    <xf numFmtId="0" fontId="60" fillId="0" borderId="0" xfId="0" applyFont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7" xfId="1" applyNumberFormat="1" applyFont="1" applyBorder="1"/>
    <xf numFmtId="3" fontId="51" fillId="0" borderId="138" xfId="1" applyNumberFormat="1" applyFont="1" applyBorder="1"/>
    <xf numFmtId="3" fontId="21" fillId="0" borderId="140" xfId="1" applyNumberFormat="1" applyFont="1" applyBorder="1" applyAlignment="1">
      <alignment horizontal="center" vertical="center" wrapText="1"/>
    </xf>
    <xf numFmtId="3" fontId="21" fillId="0" borderId="141" xfId="1" applyNumberFormat="1" applyFont="1" applyBorder="1" applyAlignment="1">
      <alignment horizontal="center" vertical="center" wrapText="1"/>
    </xf>
    <xf numFmtId="3" fontId="2" fillId="0" borderId="142" xfId="1" applyNumberFormat="1" applyFont="1" applyBorder="1" applyAlignment="1">
      <alignment horizontal="right"/>
    </xf>
    <xf numFmtId="3" fontId="21" fillId="0" borderId="143" xfId="1" applyNumberFormat="1" applyFont="1" applyBorder="1" applyAlignment="1">
      <alignment horizontal="center" vertical="center" wrapText="1"/>
    </xf>
    <xf numFmtId="3" fontId="51" fillId="0" borderId="145" xfId="1" applyNumberFormat="1" applyFont="1" applyBorder="1"/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146" xfId="1" applyNumberFormat="1" applyFont="1" applyBorder="1"/>
    <xf numFmtId="3" fontId="44" fillId="0" borderId="76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2" fillId="0" borderId="148" xfId="1" applyNumberFormat="1" applyFont="1" applyBorder="1" applyAlignment="1">
      <alignment horizontal="right"/>
    </xf>
    <xf numFmtId="3" fontId="47" fillId="0" borderId="145" xfId="1" applyNumberFormat="1" applyFont="1" applyBorder="1" applyAlignment="1">
      <alignment horizontal="right"/>
    </xf>
    <xf numFmtId="3" fontId="44" fillId="0" borderId="131" xfId="1" applyNumberFormat="1" applyFont="1" applyBorder="1"/>
    <xf numFmtId="3" fontId="1" fillId="0" borderId="147" xfId="1" applyNumberFormat="1" applyBorder="1"/>
    <xf numFmtId="3" fontId="1" fillId="0" borderId="91" xfId="1" applyNumberFormat="1" applyBorder="1"/>
    <xf numFmtId="0" fontId="23" fillId="0" borderId="107" xfId="1" applyFont="1" applyBorder="1"/>
    <xf numFmtId="3" fontId="51" fillId="0" borderId="147" xfId="1" applyNumberFormat="1" applyFont="1" applyBorder="1"/>
    <xf numFmtId="0" fontId="23" fillId="0" borderId="155" xfId="1" applyFont="1" applyBorder="1"/>
    <xf numFmtId="0" fontId="24" fillId="0" borderId="156" xfId="1" applyFont="1" applyBorder="1"/>
    <xf numFmtId="3" fontId="51" fillId="0" borderId="75" xfId="1" applyNumberFormat="1" applyFont="1" applyBorder="1"/>
    <xf numFmtId="0" fontId="59" fillId="0" borderId="0" xfId="0" applyFont="1" applyAlignment="1">
      <alignment horizontal="center"/>
    </xf>
    <xf numFmtId="49" fontId="65" fillId="0" borderId="94" xfId="3" applyNumberFormat="1" applyFont="1" applyBorder="1"/>
    <xf numFmtId="49" fontId="68" fillId="0" borderId="97" xfId="3" applyNumberFormat="1" applyFont="1" applyBorder="1"/>
    <xf numFmtId="49" fontId="68" fillId="0" borderId="72" xfId="3" applyNumberFormat="1" applyFont="1" applyBorder="1"/>
    <xf numFmtId="49" fontId="68" fillId="0" borderId="99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0" fontId="69" fillId="0" borderId="97" xfId="5" applyFont="1" applyBorder="1" applyAlignment="1">
      <alignment vertical="center" wrapText="1"/>
    </xf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49" xfId="1" applyNumberFormat="1" applyFont="1" applyBorder="1" applyAlignment="1">
      <alignment horizontal="right"/>
    </xf>
    <xf numFmtId="0" fontId="6" fillId="0" borderId="170" xfId="1" applyFont="1" applyBorder="1"/>
    <xf numFmtId="0" fontId="6" fillId="0" borderId="171" xfId="1" applyFont="1" applyBorder="1"/>
    <xf numFmtId="0" fontId="55" fillId="0" borderId="138" xfId="0" applyFont="1" applyBorder="1"/>
    <xf numFmtId="0" fontId="34" fillId="0" borderId="138" xfId="0" applyFont="1" applyBorder="1"/>
    <xf numFmtId="0" fontId="55" fillId="0" borderId="161" xfId="0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13" xfId="0" applyNumberFormat="1" applyFont="1" applyBorder="1"/>
    <xf numFmtId="3" fontId="1" fillId="0" borderId="125" xfId="5" applyNumberFormat="1" applyBorder="1"/>
    <xf numFmtId="3" fontId="7" fillId="0" borderId="86" xfId="5" applyNumberFormat="1" applyFont="1" applyBorder="1" applyAlignment="1">
      <alignment horizontal="right"/>
    </xf>
    <xf numFmtId="3" fontId="1" fillId="0" borderId="115" xfId="5" applyNumberFormat="1" applyBorder="1"/>
    <xf numFmtId="3" fontId="7" fillId="0" borderId="86" xfId="5" applyNumberFormat="1" applyFont="1" applyBorder="1"/>
    <xf numFmtId="2" fontId="31" fillId="0" borderId="147" xfId="3" applyNumberFormat="1" applyFont="1" applyBorder="1" applyAlignment="1">
      <alignment horizontal="center" wrapText="1"/>
    </xf>
    <xf numFmtId="49" fontId="31" fillId="0" borderId="94" xfId="3" applyNumberFormat="1" applyFont="1" applyBorder="1" applyAlignment="1">
      <alignment horizontal="right" wrapText="1"/>
    </xf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0" fontId="13" fillId="0" borderId="0" xfId="0" applyFont="1"/>
    <xf numFmtId="0" fontId="76" fillId="0" borderId="0" xfId="0" applyFont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4" xfId="3" applyFont="1" applyBorder="1" applyAlignment="1">
      <alignment horizontal="left" vertical="center"/>
    </xf>
    <xf numFmtId="3" fontId="66" fillId="0" borderId="95" xfId="3" applyNumberFormat="1" applyFont="1" applyBorder="1"/>
    <xf numFmtId="0" fontId="31" fillId="0" borderId="150" xfId="3" applyFont="1" applyBorder="1"/>
    <xf numFmtId="0" fontId="31" fillId="0" borderId="78" xfId="3" applyFont="1" applyBorder="1"/>
    <xf numFmtId="0" fontId="31" fillId="0" borderId="145" xfId="3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60" xfId="5" applyFont="1" applyBorder="1"/>
    <xf numFmtId="0" fontId="31" fillId="0" borderId="95" xfId="5" applyFont="1" applyBorder="1"/>
    <xf numFmtId="3" fontId="51" fillId="0" borderId="174" xfId="1" applyNumberFormat="1" applyFont="1" applyBorder="1"/>
    <xf numFmtId="3" fontId="2" fillId="0" borderId="175" xfId="1" applyNumberFormat="1" applyFont="1" applyBorder="1" applyAlignment="1">
      <alignment horizontal="right"/>
    </xf>
    <xf numFmtId="3" fontId="1" fillId="0" borderId="168" xfId="1" applyNumberFormat="1" applyBorder="1"/>
    <xf numFmtId="0" fontId="55" fillId="0" borderId="163" xfId="0" applyFont="1" applyBorder="1"/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5" xfId="1" applyFont="1" applyBorder="1"/>
    <xf numFmtId="0" fontId="20" fillId="0" borderId="133" xfId="1" applyFont="1" applyBorder="1"/>
    <xf numFmtId="0" fontId="20" fillId="0" borderId="169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3" fontId="44" fillId="0" borderId="162" xfId="1" applyNumberFormat="1" applyFont="1" applyBorder="1"/>
    <xf numFmtId="4" fontId="34" fillId="0" borderId="13" xfId="0" applyNumberFormat="1" applyFont="1" applyBorder="1"/>
    <xf numFmtId="3" fontId="2" fillId="0" borderId="177" xfId="1" applyNumberFormat="1" applyFont="1" applyBorder="1" applyAlignment="1">
      <alignment horizontal="right"/>
    </xf>
    <xf numFmtId="3" fontId="51" fillId="0" borderId="144" xfId="1" applyNumberFormat="1" applyFont="1" applyBorder="1"/>
    <xf numFmtId="3" fontId="51" fillId="0" borderId="0" xfId="1" applyNumberFormat="1" applyFont="1"/>
    <xf numFmtId="0" fontId="23" fillId="0" borderId="178" xfId="1" applyFont="1" applyBorder="1"/>
    <xf numFmtId="0" fontId="24" fillId="0" borderId="179" xfId="1" applyFont="1" applyBorder="1"/>
    <xf numFmtId="3" fontId="13" fillId="0" borderId="0" xfId="0" applyNumberFormat="1" applyFont="1"/>
    <xf numFmtId="3" fontId="76" fillId="0" borderId="0" xfId="0" applyNumberFormat="1" applyFont="1"/>
    <xf numFmtId="3" fontId="77" fillId="0" borderId="0" xfId="0" applyNumberFormat="1" applyFont="1"/>
    <xf numFmtId="4" fontId="14" fillId="0" borderId="180" xfId="1" applyNumberFormat="1" applyFont="1" applyBorder="1" applyAlignment="1">
      <alignment horizontal="center" wrapText="1"/>
    </xf>
    <xf numFmtId="3" fontId="37" fillId="0" borderId="165" xfId="1" applyNumberFormat="1" applyFont="1" applyBorder="1"/>
    <xf numFmtId="3" fontId="37" fillId="0" borderId="133" xfId="1" applyNumberFormat="1" applyFont="1" applyBorder="1"/>
    <xf numFmtId="3" fontId="37" fillId="0" borderId="169" xfId="1" applyNumberFormat="1" applyFont="1" applyBorder="1"/>
    <xf numFmtId="4" fontId="20" fillId="0" borderId="86" xfId="1" applyNumberFormat="1" applyFont="1" applyBorder="1" applyAlignment="1">
      <alignment horizontal="center" wrapText="1"/>
    </xf>
    <xf numFmtId="3" fontId="44" fillId="0" borderId="87" xfId="1" applyNumberFormat="1" applyFont="1" applyBorder="1"/>
    <xf numFmtId="3" fontId="51" fillId="0" borderId="161" xfId="1" applyNumberFormat="1" applyFont="1" applyBorder="1"/>
    <xf numFmtId="3" fontId="47" fillId="0" borderId="161" xfId="1" applyNumberFormat="1" applyFont="1" applyBorder="1" applyAlignment="1">
      <alignment horizontal="right"/>
    </xf>
    <xf numFmtId="3" fontId="51" fillId="0" borderId="139" xfId="1" applyNumberFormat="1" applyFont="1" applyBorder="1"/>
    <xf numFmtId="0" fontId="58" fillId="0" borderId="87" xfId="0" applyFont="1" applyBorder="1" applyAlignment="1">
      <alignment vertical="center"/>
    </xf>
    <xf numFmtId="0" fontId="58" fillId="0" borderId="87" xfId="0" applyFont="1" applyBorder="1"/>
    <xf numFmtId="0" fontId="55" fillId="0" borderId="115" xfId="0" applyFont="1" applyBorder="1" applyAlignment="1">
      <alignment horizontal="center" vertical="center"/>
    </xf>
    <xf numFmtId="0" fontId="55" fillId="0" borderId="173" xfId="0" applyFont="1" applyBorder="1" applyAlignment="1">
      <alignment horizontal="center" vertical="center"/>
    </xf>
    <xf numFmtId="0" fontId="55" fillId="0" borderId="125" xfId="0" applyFont="1" applyBorder="1" applyAlignment="1">
      <alignment horizontal="center" vertical="center"/>
    </xf>
    <xf numFmtId="0" fontId="58" fillId="0" borderId="86" xfId="0" applyFont="1" applyBorder="1"/>
    <xf numFmtId="3" fontId="58" fillId="0" borderId="114" xfId="0" applyNumberFormat="1" applyFont="1" applyBorder="1" applyAlignment="1">
      <alignment vertical="center"/>
    </xf>
    <xf numFmtId="3" fontId="55" fillId="0" borderId="176" xfId="0" applyNumberFormat="1" applyFont="1" applyBorder="1"/>
    <xf numFmtId="3" fontId="55" fillId="0" borderId="133" xfId="0" applyNumberFormat="1" applyFont="1" applyBorder="1"/>
    <xf numFmtId="3" fontId="55" fillId="0" borderId="134" xfId="0" applyNumberFormat="1" applyFont="1" applyBorder="1"/>
    <xf numFmtId="3" fontId="55" fillId="0" borderId="169" xfId="0" applyNumberFormat="1" applyFont="1" applyBorder="1"/>
    <xf numFmtId="3" fontId="58" fillId="0" borderId="114" xfId="0" applyNumberFormat="1" applyFont="1" applyBorder="1"/>
    <xf numFmtId="4" fontId="65" fillId="0" borderId="56" xfId="3" applyNumberFormat="1" applyFont="1" applyBorder="1"/>
    <xf numFmtId="4" fontId="65" fillId="0" borderId="72" xfId="3" applyNumberFormat="1" applyFont="1" applyBorder="1"/>
    <xf numFmtId="4" fontId="65" fillId="0" borderId="67" xfId="3" applyNumberFormat="1" applyFont="1" applyBorder="1"/>
    <xf numFmtId="4" fontId="65" fillId="0" borderId="98" xfId="3" applyNumberFormat="1" applyFont="1" applyBorder="1"/>
    <xf numFmtId="4" fontId="65" fillId="0" borderId="124" xfId="3" applyNumberFormat="1" applyFont="1" applyBorder="1"/>
    <xf numFmtId="4" fontId="65" fillId="0" borderId="64" xfId="3" applyNumberFormat="1" applyFont="1" applyBorder="1"/>
    <xf numFmtId="4" fontId="70" fillId="0" borderId="56" xfId="0" applyNumberFormat="1" applyFont="1" applyBorder="1"/>
    <xf numFmtId="4" fontId="70" fillId="0" borderId="63" xfId="0" applyNumberFormat="1" applyFont="1" applyBorder="1"/>
    <xf numFmtId="0" fontId="68" fillId="0" borderId="159" xfId="5" applyFont="1" applyBorder="1"/>
    <xf numFmtId="4" fontId="68" fillId="0" borderId="150" xfId="3" applyNumberFormat="1" applyFont="1" applyBorder="1"/>
    <xf numFmtId="4" fontId="68" fillId="0" borderId="78" xfId="3" applyNumberFormat="1" applyFont="1" applyBorder="1"/>
    <xf numFmtId="4" fontId="68" fillId="0" borderId="145" xfId="3" applyNumberFormat="1" applyFont="1" applyBorder="1"/>
    <xf numFmtId="4" fontId="68" fillId="0" borderId="154" xfId="3" applyNumberFormat="1" applyFont="1" applyBorder="1"/>
    <xf numFmtId="4" fontId="13" fillId="0" borderId="0" xfId="0" applyNumberFormat="1" applyFont="1"/>
    <xf numFmtId="4" fontId="65" fillId="0" borderId="97" xfId="3" applyNumberFormat="1" applyFont="1" applyBorder="1"/>
    <xf numFmtId="4" fontId="65" fillId="0" borderId="152" xfId="3" applyNumberFormat="1" applyFont="1" applyBorder="1"/>
    <xf numFmtId="4" fontId="65" fillId="0" borderId="62" xfId="3" applyNumberFormat="1" applyFont="1" applyBorder="1"/>
    <xf numFmtId="4" fontId="70" fillId="0" borderId="64" xfId="0" applyNumberFormat="1" applyFont="1" applyBorder="1"/>
    <xf numFmtId="4" fontId="65" fillId="0" borderId="66" xfId="3" applyNumberFormat="1" applyFont="1" applyBorder="1"/>
    <xf numFmtId="4" fontId="65" fillId="0" borderId="99" xfId="3" applyNumberFormat="1" applyFont="1" applyBorder="1"/>
    <xf numFmtId="4" fontId="65" fillId="0" borderId="63" xfId="3" applyNumberFormat="1" applyFont="1" applyBorder="1"/>
    <xf numFmtId="4" fontId="65" fillId="0" borderId="144" xfId="3" applyNumberFormat="1" applyFont="1" applyBorder="1"/>
    <xf numFmtId="4" fontId="31" fillId="0" borderId="64" xfId="3" applyNumberFormat="1" applyFont="1" applyBorder="1" applyAlignment="1">
      <alignment vertical="center"/>
    </xf>
    <xf numFmtId="3" fontId="73" fillId="0" borderId="88" xfId="0" applyNumberFormat="1" applyFont="1" applyBorder="1" applyAlignment="1">
      <alignment horizontal="center" vertical="center" wrapText="1"/>
    </xf>
    <xf numFmtId="4" fontId="64" fillId="0" borderId="127" xfId="5" applyNumberFormat="1" applyFont="1" applyBorder="1" applyAlignment="1">
      <alignment horizontal="center" vertical="center" wrapText="1"/>
    </xf>
    <xf numFmtId="4" fontId="31" fillId="0" borderId="71" xfId="0" applyNumberFormat="1" applyFont="1" applyBorder="1" applyAlignment="1">
      <alignment horizontal="center" vertical="center" wrapText="1"/>
    </xf>
    <xf numFmtId="4" fontId="31" fillId="0" borderId="60" xfId="0" applyNumberFormat="1" applyFont="1" applyBorder="1" applyAlignment="1">
      <alignment horizontal="center" vertical="center" wrapText="1"/>
    </xf>
    <xf numFmtId="4" fontId="31" fillId="0" borderId="137" xfId="0" applyNumberFormat="1" applyFont="1" applyBorder="1" applyAlignment="1">
      <alignment horizontal="center" vertical="center" wrapText="1"/>
    </xf>
    <xf numFmtId="1" fontId="64" fillId="0" borderId="85" xfId="5" applyNumberFormat="1" applyFont="1" applyBorder="1" applyAlignment="1">
      <alignment horizontal="center" vertical="center" wrapText="1"/>
    </xf>
    <xf numFmtId="4" fontId="21" fillId="0" borderId="157" xfId="5" applyNumberFormat="1" applyFont="1" applyBorder="1" applyAlignment="1">
      <alignment vertical="center" wrapText="1"/>
    </xf>
    <xf numFmtId="4" fontId="21" fillId="0" borderId="75" xfId="5" applyNumberFormat="1" applyFont="1" applyBorder="1" applyAlignment="1">
      <alignment horizontal="center" vertical="center" wrapText="1"/>
    </xf>
    <xf numFmtId="4" fontId="21" fillId="0" borderId="88" xfId="5" applyNumberFormat="1" applyFont="1" applyBorder="1" applyAlignment="1">
      <alignment horizontal="center" vertical="center" wrapText="1"/>
    </xf>
    <xf numFmtId="3" fontId="73" fillId="0" borderId="85" xfId="0" applyNumberFormat="1" applyFont="1" applyBorder="1" applyAlignment="1">
      <alignment horizontal="center" vertical="center" wrapText="1"/>
    </xf>
    <xf numFmtId="4" fontId="31" fillId="0" borderId="94" xfId="3" applyNumberFormat="1" applyFont="1" applyBorder="1" applyAlignment="1">
      <alignment horizontal="right" vertical="center"/>
    </xf>
    <xf numFmtId="4" fontId="31" fillId="0" borderId="128" xfId="3" applyNumberFormat="1" applyFont="1" applyBorder="1" applyAlignment="1">
      <alignment horizontal="right" vertical="center"/>
    </xf>
    <xf numFmtId="4" fontId="31" fillId="0" borderId="162" xfId="3" applyNumberFormat="1" applyFont="1" applyBorder="1" applyAlignment="1">
      <alignment horizontal="right" vertical="center"/>
    </xf>
    <xf numFmtId="4" fontId="31" fillId="0" borderId="130" xfId="3" applyNumberFormat="1" applyFont="1" applyBorder="1" applyAlignment="1">
      <alignment horizontal="right" vertical="center"/>
    </xf>
    <xf numFmtId="4" fontId="7" fillId="0" borderId="86" xfId="5" applyNumberFormat="1" applyFont="1" applyBorder="1" applyAlignment="1">
      <alignment horizontal="right"/>
    </xf>
    <xf numFmtId="4" fontId="7" fillId="0" borderId="94" xfId="5" applyNumberFormat="1" applyFont="1" applyBorder="1" applyAlignment="1">
      <alignment horizontal="right"/>
    </xf>
    <xf numFmtId="4" fontId="7" fillId="0" borderId="128" xfId="5" applyNumberFormat="1" applyFont="1" applyBorder="1" applyAlignment="1">
      <alignment horizontal="right"/>
    </xf>
    <xf numFmtId="4" fontId="7" fillId="0" borderId="87" xfId="5" applyNumberFormat="1" applyFont="1" applyBorder="1" applyAlignment="1">
      <alignment horizontal="right"/>
    </xf>
    <xf numFmtId="4" fontId="31" fillId="0" borderId="147" xfId="3" applyNumberFormat="1" applyFont="1" applyBorder="1" applyAlignment="1">
      <alignment horizontal="right" vertical="center"/>
    </xf>
    <xf numFmtId="4" fontId="65" fillId="0" borderId="77" xfId="5" applyNumberFormat="1" applyFont="1" applyBorder="1" applyAlignment="1">
      <alignment horizontal="right" vertical="center"/>
    </xf>
    <xf numFmtId="4" fontId="65" fillId="0" borderId="77" xfId="5" applyNumberFormat="1" applyFont="1" applyBorder="1" applyAlignment="1">
      <alignment horizontal="right" vertical="center" wrapText="1"/>
    </xf>
    <xf numFmtId="4" fontId="31" fillId="0" borderId="77" xfId="5" applyNumberFormat="1" applyFont="1" applyBorder="1" applyAlignment="1">
      <alignment horizontal="right" vertical="center" wrapText="1"/>
    </xf>
    <xf numFmtId="4" fontId="7" fillId="0" borderId="77" xfId="5" applyNumberFormat="1" applyFont="1" applyBorder="1" applyAlignment="1">
      <alignment horizontal="right" vertical="center" wrapText="1"/>
    </xf>
    <xf numFmtId="4" fontId="1" fillId="0" borderId="77" xfId="5" applyNumberFormat="1" applyBorder="1" applyAlignment="1">
      <alignment horizontal="right" vertical="center"/>
    </xf>
    <xf numFmtId="4" fontId="31" fillId="0" borderId="153" xfId="5" applyNumberFormat="1" applyFont="1" applyBorder="1" applyAlignment="1">
      <alignment horizontal="right" vertical="center" wrapText="1"/>
    </xf>
    <xf numFmtId="4" fontId="31" fillId="0" borderId="153" xfId="3" applyNumberFormat="1" applyFont="1" applyBorder="1" applyAlignment="1">
      <alignment horizontal="right" vertical="center" wrapText="1"/>
    </xf>
    <xf numFmtId="4" fontId="31" fillId="0" borderId="0" xfId="3" applyNumberFormat="1" applyFont="1" applyAlignment="1">
      <alignment horizontal="right" vertical="center" wrapText="1"/>
    </xf>
    <xf numFmtId="4" fontId="1" fillId="0" borderId="84" xfId="5" applyNumberFormat="1" applyBorder="1"/>
    <xf numFmtId="4" fontId="1" fillId="0" borderId="147" xfId="5" applyNumberFormat="1" applyBorder="1"/>
    <xf numFmtId="4" fontId="1" fillId="0" borderId="77" xfId="5" applyNumberFormat="1" applyBorder="1"/>
    <xf numFmtId="4" fontId="1" fillId="0" borderId="91" xfId="5" applyNumberFormat="1" applyBorder="1"/>
    <xf numFmtId="4" fontId="13" fillId="0" borderId="147" xfId="0" applyNumberFormat="1" applyFont="1" applyBorder="1"/>
    <xf numFmtId="4" fontId="13" fillId="0" borderId="77" xfId="0" applyNumberFormat="1" applyFont="1" applyBorder="1"/>
    <xf numFmtId="4" fontId="13" fillId="0" borderId="87" xfId="0" applyNumberFormat="1" applyFont="1" applyBorder="1"/>
    <xf numFmtId="3" fontId="13" fillId="0" borderId="86" xfId="0" applyNumberFormat="1" applyFont="1" applyBorder="1"/>
    <xf numFmtId="4" fontId="67" fillId="0" borderId="94" xfId="3" applyNumberFormat="1" applyFont="1" applyBorder="1"/>
    <xf numFmtId="4" fontId="67" fillId="0" borderId="128" xfId="3" applyNumberFormat="1" applyFont="1" applyBorder="1"/>
    <xf numFmtId="4" fontId="67" fillId="0" borderId="162" xfId="3" applyNumberFormat="1" applyFont="1" applyBorder="1"/>
    <xf numFmtId="4" fontId="67" fillId="0" borderId="130" xfId="3" applyNumberFormat="1" applyFont="1" applyBorder="1"/>
    <xf numFmtId="4" fontId="7" fillId="0" borderId="86" xfId="5" applyNumberFormat="1" applyFont="1" applyBorder="1"/>
    <xf numFmtId="4" fontId="7" fillId="0" borderId="94" xfId="5" applyNumberFormat="1" applyFont="1" applyBorder="1"/>
    <xf numFmtId="4" fontId="7" fillId="0" borderId="128" xfId="5" applyNumberFormat="1" applyFont="1" applyBorder="1"/>
    <xf numFmtId="4" fontId="7" fillId="0" borderId="87" xfId="5" applyNumberFormat="1" applyFont="1" applyBorder="1"/>
    <xf numFmtId="4" fontId="31" fillId="0" borderId="97" xfId="3" applyNumberFormat="1" applyFont="1" applyBorder="1"/>
    <xf numFmtId="4" fontId="65" fillId="0" borderId="151" xfId="3" applyNumberFormat="1" applyFont="1" applyBorder="1"/>
    <xf numFmtId="4" fontId="1" fillId="0" borderId="115" xfId="5" applyNumberFormat="1" applyBorder="1"/>
    <xf numFmtId="4" fontId="1" fillId="0" borderId="97" xfId="5" applyNumberFormat="1" applyBorder="1"/>
    <xf numFmtId="4" fontId="1" fillId="0" borderId="163" xfId="5" applyNumberFormat="1" applyBorder="1"/>
    <xf numFmtId="4" fontId="70" fillId="0" borderId="163" xfId="0" applyNumberFormat="1" applyFont="1" applyBorder="1"/>
    <xf numFmtId="4" fontId="31" fillId="0" borderId="72" xfId="3" applyNumberFormat="1" applyFont="1" applyBorder="1"/>
    <xf numFmtId="4" fontId="1" fillId="0" borderId="125" xfId="5" applyNumberFormat="1" applyBorder="1"/>
    <xf numFmtId="4" fontId="1" fillId="0" borderId="72" xfId="5" applyNumberFormat="1" applyBorder="1"/>
    <xf numFmtId="4" fontId="1" fillId="0" borderId="138" xfId="5" applyNumberFormat="1" applyBorder="1"/>
    <xf numFmtId="4" fontId="70" fillId="0" borderId="138" xfId="0" applyNumberFormat="1" applyFont="1" applyBorder="1"/>
    <xf numFmtId="4" fontId="1" fillId="0" borderId="56" xfId="5" applyNumberFormat="1" applyBorder="1"/>
    <xf numFmtId="4" fontId="7" fillId="0" borderId="125" xfId="3" applyNumberFormat="1" applyFont="1" applyBorder="1"/>
    <xf numFmtId="4" fontId="70" fillId="0" borderId="91" xfId="0" applyNumberFormat="1" applyFont="1" applyBorder="1"/>
    <xf numFmtId="4" fontId="31" fillId="0" borderId="99" xfId="3" applyNumberFormat="1" applyFont="1" applyBorder="1"/>
    <xf numFmtId="4" fontId="65" fillId="0" borderId="77" xfId="3" applyNumberFormat="1" applyFont="1" applyBorder="1"/>
    <xf numFmtId="4" fontId="65" fillId="0" borderId="70" xfId="3" applyNumberFormat="1" applyFont="1" applyBorder="1"/>
    <xf numFmtId="4" fontId="1" fillId="0" borderId="173" xfId="5" applyNumberFormat="1" applyBorder="1"/>
    <xf numFmtId="4" fontId="1" fillId="0" borderId="99" xfId="5" applyNumberFormat="1" applyBorder="1"/>
    <xf numFmtId="4" fontId="1" fillId="0" borderId="66" xfId="5" applyNumberFormat="1" applyBorder="1"/>
    <xf numFmtId="4" fontId="1" fillId="0" borderId="161" xfId="5" applyNumberFormat="1" applyBorder="1"/>
    <xf numFmtId="4" fontId="13" fillId="0" borderId="99" xfId="0" applyNumberFormat="1" applyFont="1" applyBorder="1"/>
    <xf numFmtId="4" fontId="13" fillId="0" borderId="66" xfId="0" applyNumberFormat="1" applyFont="1" applyBorder="1"/>
    <xf numFmtId="4" fontId="13" fillId="0" borderId="161" xfId="0" applyNumberFormat="1" applyFont="1" applyBorder="1"/>
    <xf numFmtId="3" fontId="13" fillId="0" borderId="173" xfId="0" applyNumberFormat="1" applyFont="1" applyBorder="1"/>
    <xf numFmtId="4" fontId="7" fillId="0" borderId="162" xfId="5" applyNumberFormat="1" applyFont="1" applyBorder="1"/>
    <xf numFmtId="4" fontId="7" fillId="0" borderId="130" xfId="5" applyNumberFormat="1" applyFont="1" applyBorder="1"/>
    <xf numFmtId="4" fontId="1" fillId="0" borderId="98" xfId="5" applyNumberFormat="1" applyBorder="1"/>
    <xf numFmtId="4" fontId="1" fillId="0" borderId="137" xfId="5" applyNumberFormat="1" applyBorder="1"/>
    <xf numFmtId="3" fontId="1" fillId="0" borderId="165" xfId="5" applyNumberFormat="1" applyBorder="1"/>
    <xf numFmtId="4" fontId="65" fillId="0" borderId="159" xfId="3" applyNumberFormat="1" applyFont="1" applyBorder="1"/>
    <xf numFmtId="4" fontId="13" fillId="0" borderId="138" xfId="0" applyNumberFormat="1" applyFont="1" applyBorder="1"/>
    <xf numFmtId="3" fontId="13" fillId="0" borderId="133" xfId="0" applyNumberFormat="1" applyFont="1" applyBorder="1"/>
    <xf numFmtId="3" fontId="13" fillId="0" borderId="125" xfId="0" applyNumberFormat="1" applyFont="1" applyBorder="1"/>
    <xf numFmtId="4" fontId="13" fillId="0" borderId="73" xfId="0" applyNumberFormat="1" applyFont="1" applyBorder="1"/>
    <xf numFmtId="4" fontId="13" fillId="0" borderId="69" xfId="0" applyNumberFormat="1" applyFont="1" applyBorder="1"/>
    <xf numFmtId="4" fontId="13" fillId="0" borderId="139" xfId="0" applyNumberFormat="1" applyFont="1" applyBorder="1"/>
    <xf numFmtId="3" fontId="13" fillId="0" borderId="169" xfId="0" applyNumberFormat="1" applyFont="1" applyBorder="1"/>
    <xf numFmtId="3" fontId="13" fillId="0" borderId="126" xfId="0" applyNumberFormat="1" applyFont="1" applyBorder="1"/>
    <xf numFmtId="4" fontId="65" fillId="0" borderId="94" xfId="3" applyNumberFormat="1" applyFont="1" applyBorder="1"/>
    <xf numFmtId="4" fontId="65" fillId="0" borderId="128" xfId="3" applyNumberFormat="1" applyFont="1" applyBorder="1"/>
    <xf numFmtId="4" fontId="65" fillId="0" borderId="162" xfId="3" applyNumberFormat="1" applyFont="1" applyBorder="1"/>
    <xf numFmtId="4" fontId="65" fillId="0" borderId="130" xfId="3" applyNumberFormat="1" applyFont="1" applyBorder="1"/>
    <xf numFmtId="4" fontId="1" fillId="0" borderId="128" xfId="5" applyNumberFormat="1" applyBorder="1"/>
    <xf numFmtId="4" fontId="1" fillId="0" borderId="87" xfId="5" applyNumberFormat="1" applyBorder="1"/>
    <xf numFmtId="4" fontId="13" fillId="0" borderId="157" xfId="0" applyNumberFormat="1" applyFont="1" applyBorder="1"/>
    <xf numFmtId="4" fontId="13" fillId="0" borderId="75" xfId="0" applyNumberFormat="1" applyFont="1" applyBorder="1"/>
    <xf numFmtId="4" fontId="13" fillId="0" borderId="88" xfId="0" applyNumberFormat="1" applyFont="1" applyBorder="1"/>
    <xf numFmtId="3" fontId="13" fillId="0" borderId="85" xfId="0" applyNumberFormat="1" applyFont="1" applyBorder="1"/>
    <xf numFmtId="4" fontId="70" fillId="0" borderId="115" xfId="5" applyNumberFormat="1" applyFont="1" applyBorder="1"/>
    <xf numFmtId="4" fontId="70" fillId="0" borderId="97" xfId="5" applyNumberFormat="1" applyFont="1" applyBorder="1"/>
    <xf numFmtId="4" fontId="13" fillId="0" borderId="92" xfId="0" applyNumberFormat="1" applyFont="1" applyBorder="1"/>
    <xf numFmtId="3" fontId="13" fillId="0" borderId="132" xfId="0" applyNumberFormat="1" applyFont="1" applyBorder="1"/>
    <xf numFmtId="4" fontId="13" fillId="0" borderId="91" xfId="0" applyNumberFormat="1" applyFont="1" applyBorder="1"/>
    <xf numFmtId="3" fontId="13" fillId="0" borderId="84" xfId="0" applyNumberFormat="1" applyFont="1" applyBorder="1"/>
    <xf numFmtId="4" fontId="65" fillId="0" borderId="160" xfId="3" applyNumberFormat="1" applyFont="1" applyBorder="1"/>
    <xf numFmtId="4" fontId="7" fillId="0" borderId="91" xfId="5" applyNumberFormat="1" applyFont="1" applyBorder="1"/>
    <xf numFmtId="4" fontId="1" fillId="0" borderId="88" xfId="5" applyNumberFormat="1" applyBorder="1"/>
    <xf numFmtId="4" fontId="65" fillId="0" borderId="146" xfId="3" applyNumberFormat="1" applyFont="1" applyBorder="1"/>
    <xf numFmtId="4" fontId="65" fillId="0" borderId="164" xfId="3" applyNumberFormat="1" applyFont="1" applyBorder="1"/>
    <xf numFmtId="4" fontId="65" fillId="0" borderId="167" xfId="3" applyNumberFormat="1" applyFont="1" applyBorder="1"/>
    <xf numFmtId="4" fontId="65" fillId="0" borderId="131" xfId="3" applyNumberFormat="1" applyFont="1" applyBorder="1"/>
    <xf numFmtId="4" fontId="7" fillId="0" borderId="132" xfId="5" applyNumberFormat="1" applyFont="1" applyBorder="1"/>
    <xf numFmtId="4" fontId="7" fillId="0" borderId="146" xfId="5" applyNumberFormat="1" applyFont="1" applyBorder="1"/>
    <xf numFmtId="4" fontId="7" fillId="0" borderId="164" xfId="5" applyNumberFormat="1" applyFont="1" applyBorder="1"/>
    <xf numFmtId="4" fontId="7" fillId="0" borderId="172" xfId="5" applyNumberFormat="1" applyFont="1" applyBorder="1"/>
    <xf numFmtId="4" fontId="65" fillId="0" borderId="87" xfId="3" applyNumberFormat="1" applyFont="1" applyBorder="1"/>
    <xf numFmtId="4" fontId="65" fillId="0" borderId="146" xfId="0" applyNumberFormat="1" applyFont="1" applyBorder="1"/>
    <xf numFmtId="4" fontId="65" fillId="0" borderId="164" xfId="0" applyNumberFormat="1" applyFont="1" applyBorder="1"/>
    <xf numFmtId="4" fontId="65" fillId="0" borderId="167" xfId="0" applyNumberFormat="1" applyFont="1" applyBorder="1"/>
    <xf numFmtId="4" fontId="65" fillId="0" borderId="131" xfId="0" applyNumberFormat="1" applyFont="1" applyBorder="1"/>
    <xf numFmtId="4" fontId="65" fillId="0" borderId="86" xfId="0" applyNumberFormat="1" applyFont="1" applyBorder="1"/>
    <xf numFmtId="4" fontId="65" fillId="0" borderId="94" xfId="0" applyNumberFormat="1" applyFont="1" applyBorder="1"/>
    <xf numFmtId="4" fontId="65" fillId="0" borderId="128" xfId="0" applyNumberFormat="1" applyFont="1" applyBorder="1"/>
    <xf numFmtId="4" fontId="65" fillId="0" borderId="95" xfId="0" applyNumberFormat="1" applyFont="1" applyBorder="1"/>
    <xf numFmtId="4" fontId="65" fillId="0" borderId="130" xfId="0" applyNumberFormat="1" applyFont="1" applyBorder="1"/>
    <xf numFmtId="4" fontId="65" fillId="0" borderId="162" xfId="0" applyNumberFormat="1" applyFont="1" applyBorder="1"/>
    <xf numFmtId="4" fontId="76" fillId="0" borderId="128" xfId="0" applyNumberFormat="1" applyFont="1" applyBorder="1"/>
    <xf numFmtId="4" fontId="76" fillId="0" borderId="94" xfId="0" applyNumberFormat="1" applyFont="1" applyBorder="1"/>
    <xf numFmtId="4" fontId="76" fillId="0" borderId="162" xfId="0" applyNumberFormat="1" applyFont="1" applyBorder="1"/>
    <xf numFmtId="4" fontId="76" fillId="0" borderId="87" xfId="0" applyNumberFormat="1" applyFont="1" applyBorder="1"/>
    <xf numFmtId="4" fontId="76" fillId="0" borderId="86" xfId="0" applyNumberFormat="1" applyFont="1" applyBorder="1"/>
    <xf numFmtId="4" fontId="76" fillId="0" borderId="95" xfId="0" applyNumberFormat="1" applyFont="1" applyBorder="1"/>
    <xf numFmtId="4" fontId="77" fillId="0" borderId="94" xfId="0" applyNumberFormat="1" applyFont="1" applyBorder="1"/>
    <xf numFmtId="4" fontId="77" fillId="0" borderId="128" xfId="0" applyNumberFormat="1" applyFont="1" applyBorder="1"/>
    <xf numFmtId="4" fontId="77" fillId="0" borderId="95" xfId="0" applyNumberFormat="1" applyFont="1" applyBorder="1"/>
    <xf numFmtId="4" fontId="13" fillId="0" borderId="86" xfId="0" applyNumberFormat="1" applyFont="1" applyBorder="1"/>
    <xf numFmtId="4" fontId="13" fillId="0" borderId="173" xfId="0" applyNumberFormat="1" applyFont="1" applyBorder="1"/>
    <xf numFmtId="4" fontId="13" fillId="0" borderId="127" xfId="0" applyNumberFormat="1" applyFont="1" applyBorder="1"/>
    <xf numFmtId="4" fontId="70" fillId="0" borderId="71" xfId="0" applyNumberFormat="1" applyFont="1" applyBorder="1"/>
    <xf numFmtId="4" fontId="70" fillId="0" borderId="61" xfId="0" applyNumberFormat="1" applyFont="1" applyBorder="1"/>
    <xf numFmtId="3" fontId="1" fillId="0" borderId="127" xfId="5" applyNumberFormat="1" applyBorder="1"/>
    <xf numFmtId="4" fontId="70" fillId="0" borderId="62" xfId="0" applyNumberFormat="1" applyFont="1" applyBorder="1"/>
    <xf numFmtId="4" fontId="70" fillId="0" borderId="72" xfId="0" applyNumberFormat="1" applyFont="1" applyBorder="1"/>
    <xf numFmtId="4" fontId="70" fillId="0" borderId="73" xfId="0" applyNumberFormat="1" applyFont="1" applyBorder="1"/>
    <xf numFmtId="4" fontId="70" fillId="0" borderId="69" xfId="0" applyNumberFormat="1" applyFont="1" applyBorder="1"/>
    <xf numFmtId="3" fontId="1" fillId="0" borderId="85" xfId="5" applyNumberFormat="1" applyBorder="1"/>
    <xf numFmtId="4" fontId="1" fillId="0" borderId="85" xfId="5" applyNumberFormat="1" applyBorder="1"/>
    <xf numFmtId="4" fontId="65" fillId="0" borderId="86" xfId="3" applyNumberFormat="1" applyFont="1" applyBorder="1"/>
    <xf numFmtId="4" fontId="65" fillId="0" borderId="87" xfId="0" applyNumberFormat="1" applyFont="1" applyBorder="1"/>
    <xf numFmtId="4" fontId="77" fillId="0" borderId="86" xfId="0" applyNumberFormat="1" applyFont="1" applyBorder="1"/>
    <xf numFmtId="4" fontId="77" fillId="0" borderId="87" xfId="0" applyNumberFormat="1" applyFont="1" applyBorder="1"/>
    <xf numFmtId="4" fontId="65" fillId="0" borderId="61" xfId="3" applyNumberFormat="1" applyFont="1" applyBorder="1"/>
    <xf numFmtId="3" fontId="73" fillId="0" borderId="127" xfId="0" applyNumberFormat="1" applyFont="1" applyBorder="1" applyAlignment="1">
      <alignment horizontal="center" vertical="center" wrapText="1"/>
    </xf>
    <xf numFmtId="49" fontId="73" fillId="0" borderId="127" xfId="0" applyNumberFormat="1" applyFont="1" applyBorder="1" applyAlignment="1">
      <alignment horizontal="center" vertical="center" wrapText="1"/>
    </xf>
    <xf numFmtId="4" fontId="21" fillId="0" borderId="141" xfId="1" applyNumberFormat="1" applyFont="1" applyBorder="1" applyAlignment="1">
      <alignment horizontal="center" vertical="center" wrapText="1"/>
    </xf>
    <xf numFmtId="4" fontId="21" fillId="0" borderId="143" xfId="1" applyNumberFormat="1" applyFont="1" applyBorder="1" applyAlignment="1">
      <alignment horizontal="center" vertical="center" wrapText="1"/>
    </xf>
    <xf numFmtId="4" fontId="21" fillId="0" borderId="140" xfId="1" applyNumberFormat="1" applyFont="1" applyBorder="1" applyAlignment="1">
      <alignment horizontal="center" vertical="center" wrapText="1"/>
    </xf>
    <xf numFmtId="4" fontId="2" fillId="0" borderId="142" xfId="1" applyNumberFormat="1" applyFont="1" applyBorder="1" applyAlignment="1">
      <alignment horizontal="right"/>
    </xf>
    <xf numFmtId="4" fontId="2" fillId="0" borderId="177" xfId="1" applyNumberFormat="1" applyFont="1" applyBorder="1" applyAlignment="1">
      <alignment horizontal="right"/>
    </xf>
    <xf numFmtId="4" fontId="2" fillId="0" borderId="149" xfId="1" applyNumberFormat="1" applyFont="1" applyBorder="1" applyAlignment="1">
      <alignment horizontal="right"/>
    </xf>
    <xf numFmtId="4" fontId="1" fillId="0" borderId="147" xfId="1" applyNumberFormat="1" applyBorder="1"/>
    <xf numFmtId="4" fontId="1" fillId="0" borderId="77" xfId="1" applyNumberFormat="1" applyBorder="1"/>
    <xf numFmtId="4" fontId="1" fillId="0" borderId="91" xfId="1" applyNumberFormat="1" applyBorder="1"/>
    <xf numFmtId="4" fontId="44" fillId="0" borderId="71" xfId="1" applyNumberFormat="1" applyFont="1" applyBorder="1"/>
    <xf numFmtId="4" fontId="44" fillId="0" borderId="61" xfId="1" applyNumberFormat="1" applyFont="1" applyBorder="1"/>
    <xf numFmtId="4" fontId="44" fillId="0" borderId="137" xfId="1" applyNumberFormat="1" applyFont="1" applyBorder="1"/>
    <xf numFmtId="4" fontId="51" fillId="0" borderId="72" xfId="1" applyNumberFormat="1" applyFont="1" applyBorder="1"/>
    <xf numFmtId="4" fontId="51" fillId="0" borderId="56" xfId="1" applyNumberFormat="1" applyFont="1" applyBorder="1"/>
    <xf numFmtId="4" fontId="51" fillId="0" borderId="138" xfId="1" applyNumberFormat="1" applyFont="1" applyBorder="1"/>
    <xf numFmtId="4" fontId="51" fillId="0" borderId="99" xfId="1" applyNumberFormat="1" applyFont="1" applyBorder="1"/>
    <xf numFmtId="4" fontId="51" fillId="0" borderId="66" xfId="1" applyNumberFormat="1" applyFont="1" applyBorder="1"/>
    <xf numFmtId="4" fontId="51" fillId="0" borderId="161" xfId="1" applyNumberFormat="1" applyFont="1" applyBorder="1"/>
    <xf numFmtId="4" fontId="47" fillId="0" borderId="66" xfId="1" applyNumberFormat="1" applyFont="1" applyBorder="1" applyAlignment="1">
      <alignment horizontal="right"/>
    </xf>
    <xf numFmtId="4" fontId="47" fillId="0" borderId="161" xfId="1" applyNumberFormat="1" applyFont="1" applyBorder="1" applyAlignment="1">
      <alignment horizontal="right"/>
    </xf>
    <xf numFmtId="4" fontId="44" fillId="0" borderId="94" xfId="1" applyNumberFormat="1" applyFont="1" applyBorder="1"/>
    <xf numFmtId="4" fontId="44" fillId="0" borderId="128" xfId="1" applyNumberFormat="1" applyFont="1" applyBorder="1"/>
    <xf numFmtId="4" fontId="44" fillId="0" borderId="87" xfId="1" applyNumberFormat="1" applyFont="1" applyBorder="1"/>
    <xf numFmtId="4" fontId="51" fillId="0" borderId="73" xfId="1" applyNumberFormat="1" applyFont="1" applyBorder="1"/>
    <xf numFmtId="4" fontId="51" fillId="0" borderId="69" xfId="1" applyNumberFormat="1" applyFont="1" applyBorder="1"/>
    <xf numFmtId="4" fontId="51" fillId="0" borderId="139" xfId="1" applyNumberFormat="1" applyFont="1" applyBorder="1"/>
    <xf numFmtId="4" fontId="14" fillId="0" borderId="86" xfId="1" applyNumberFormat="1" applyFont="1" applyBorder="1" applyAlignment="1">
      <alignment horizontal="center" wrapText="1"/>
    </xf>
    <xf numFmtId="4" fontId="37" fillId="0" borderId="115" xfId="1" applyNumberFormat="1" applyFont="1" applyBorder="1"/>
    <xf numFmtId="4" fontId="37" fillId="0" borderId="125" xfId="1" applyNumberFormat="1" applyFont="1" applyBorder="1"/>
    <xf numFmtId="4" fontId="37" fillId="0" borderId="126" xfId="1" applyNumberFormat="1" applyFont="1" applyBorder="1"/>
    <xf numFmtId="4" fontId="37" fillId="0" borderId="137" xfId="1" applyNumberFormat="1" applyFont="1" applyBorder="1"/>
    <xf numFmtId="4" fontId="37" fillId="0" borderId="138" xfId="1" applyNumberFormat="1" applyFont="1" applyBorder="1"/>
    <xf numFmtId="4" fontId="37" fillId="0" borderId="139" xfId="1" applyNumberFormat="1" applyFont="1" applyBorder="1"/>
    <xf numFmtId="0" fontId="0" fillId="0" borderId="97" xfId="0" applyBorder="1" applyAlignment="1">
      <alignment horizontal="center" vertical="center" wrapText="1"/>
    </xf>
    <xf numFmtId="0" fontId="0" fillId="0" borderId="98" xfId="0" applyBorder="1" applyAlignment="1">
      <alignment horizontal="center" vertical="center" wrapText="1"/>
    </xf>
    <xf numFmtId="14" fontId="0" fillId="0" borderId="98" xfId="0" applyNumberFormat="1" applyBorder="1" applyAlignment="1">
      <alignment horizontal="center" vertical="center" wrapText="1"/>
    </xf>
    <xf numFmtId="49" fontId="0" fillId="0" borderId="150" xfId="0" applyNumberFormat="1" applyBorder="1" applyAlignment="1">
      <alignment horizontal="center" vertical="center" wrapText="1"/>
    </xf>
    <xf numFmtId="4" fontId="0" fillId="0" borderId="115" xfId="0" applyNumberFormat="1" applyBorder="1" applyAlignment="1">
      <alignment horizontal="center" vertical="center"/>
    </xf>
    <xf numFmtId="164" fontId="13" fillId="0" borderId="152" xfId="0" applyNumberFormat="1" applyFont="1" applyBorder="1" applyAlignment="1">
      <alignment horizontal="center" vertical="center" wrapText="1"/>
    </xf>
    <xf numFmtId="0" fontId="80" fillId="0" borderId="98" xfId="0" applyFont="1" applyBorder="1" applyAlignment="1">
      <alignment horizontal="center" vertical="center" wrapText="1"/>
    </xf>
    <xf numFmtId="0" fontId="0" fillId="0" borderId="150" xfId="0" applyBorder="1" applyAlignment="1">
      <alignment horizontal="center" vertical="center" wrapText="1"/>
    </xf>
    <xf numFmtId="4" fontId="13" fillId="0" borderId="97" xfId="0" applyNumberFormat="1" applyFont="1" applyBorder="1"/>
    <xf numFmtId="4" fontId="13" fillId="0" borderId="124" xfId="0" applyNumberFormat="1" applyFont="1" applyBorder="1"/>
    <xf numFmtId="0" fontId="0" fillId="0" borderId="72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14" fontId="0" fillId="0" borderId="56" xfId="0" applyNumberFormat="1" applyBorder="1" applyAlignment="1">
      <alignment horizontal="center" vertical="center" wrapText="1"/>
    </xf>
    <xf numFmtId="49" fontId="0" fillId="0" borderId="78" xfId="0" applyNumberFormat="1" applyBorder="1" applyAlignment="1">
      <alignment horizontal="center" vertical="center" wrapText="1"/>
    </xf>
    <xf numFmtId="4" fontId="0" fillId="0" borderId="125" xfId="0" applyNumberFormat="1" applyBorder="1" applyAlignment="1">
      <alignment horizontal="center" vertical="center"/>
    </xf>
    <xf numFmtId="164" fontId="13" fillId="0" borderId="63" xfId="0" applyNumberFormat="1" applyFont="1" applyBorder="1" applyAlignment="1">
      <alignment horizontal="center" vertical="center" wrapText="1"/>
    </xf>
    <xf numFmtId="0" fontId="80" fillId="0" borderId="56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4" fontId="13" fillId="0" borderId="72" xfId="0" applyNumberFormat="1" applyFont="1" applyBorder="1"/>
    <xf numFmtId="4" fontId="13" fillId="0" borderId="64" xfId="0" applyNumberFormat="1" applyFont="1" applyBorder="1"/>
    <xf numFmtId="0" fontId="0" fillId="0" borderId="99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14" fontId="0" fillId="0" borderId="66" xfId="0" applyNumberFormat="1" applyBorder="1" applyAlignment="1">
      <alignment horizontal="center" vertical="center" wrapText="1"/>
    </xf>
    <xf numFmtId="49" fontId="0" fillId="0" borderId="145" xfId="0" applyNumberFormat="1" applyBorder="1" applyAlignment="1">
      <alignment horizontal="center" vertical="center" wrapText="1"/>
    </xf>
    <xf numFmtId="0" fontId="0" fillId="0" borderId="145" xfId="0" applyBorder="1" applyAlignment="1">
      <alignment horizontal="center" vertical="center" wrapText="1"/>
    </xf>
    <xf numFmtId="4" fontId="0" fillId="0" borderId="56" xfId="0" applyNumberFormat="1" applyBorder="1" applyAlignment="1">
      <alignment horizontal="center" vertical="center" wrapText="1"/>
    </xf>
    <xf numFmtId="49" fontId="0" fillId="0" borderId="159" xfId="0" applyNumberFormat="1" applyBorder="1" applyAlignment="1">
      <alignment horizontal="center" vertical="center" wrapText="1"/>
    </xf>
    <xf numFmtId="164" fontId="15" fillId="0" borderId="63" xfId="0" applyNumberFormat="1" applyFont="1" applyBorder="1" applyAlignment="1">
      <alignment horizontal="center" vertical="center" wrapText="1"/>
    </xf>
    <xf numFmtId="0" fontId="0" fillId="0" borderId="159" xfId="0" applyBorder="1" applyAlignment="1">
      <alignment horizontal="center" vertical="center" wrapText="1"/>
    </xf>
    <xf numFmtId="0" fontId="0" fillId="0" borderId="157" xfId="0" applyBorder="1" applyAlignment="1">
      <alignment horizontal="center" vertical="center" wrapText="1"/>
    </xf>
    <xf numFmtId="4" fontId="0" fillId="0" borderId="75" xfId="0" applyNumberFormat="1" applyBorder="1" applyAlignment="1">
      <alignment horizontal="center" vertical="center" wrapText="1"/>
    </xf>
    <xf numFmtId="14" fontId="0" fillId="0" borderId="75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" fontId="0" fillId="0" borderId="84" xfId="0" applyNumberFormat="1" applyBorder="1" applyAlignment="1">
      <alignment horizontal="center" vertical="center"/>
    </xf>
    <xf numFmtId="164" fontId="15" fillId="0" borderId="74" xfId="0" applyNumberFormat="1" applyFont="1" applyBorder="1" applyAlignment="1">
      <alignment horizontal="center" vertical="center" wrapText="1"/>
    </xf>
    <xf numFmtId="0" fontId="80" fillId="0" borderId="7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59" fillId="0" borderId="86" xfId="0" applyNumberFormat="1" applyFont="1" applyBorder="1" applyAlignment="1">
      <alignment horizontal="center"/>
    </xf>
    <xf numFmtId="0" fontId="0" fillId="0" borderId="130" xfId="0" applyBorder="1" applyAlignment="1">
      <alignment horizontal="left" vertical="center"/>
    </xf>
    <xf numFmtId="4" fontId="7" fillId="0" borderId="94" xfId="0" applyNumberFormat="1" applyFont="1" applyBorder="1"/>
    <xf numFmtId="4" fontId="7" fillId="0" borderId="87" xfId="0" applyNumberFormat="1" applyFont="1" applyBorder="1"/>
    <xf numFmtId="4" fontId="65" fillId="0" borderId="69" xfId="3" applyNumberFormat="1" applyFont="1" applyBorder="1"/>
    <xf numFmtId="4" fontId="65" fillId="0" borderId="65" xfId="3" applyNumberFormat="1" applyFont="1" applyBorder="1"/>
    <xf numFmtId="4" fontId="65" fillId="0" borderId="75" xfId="3" applyNumberFormat="1" applyFont="1" applyBorder="1"/>
    <xf numFmtId="4" fontId="20" fillId="0" borderId="87" xfId="1" applyNumberFormat="1" applyFont="1" applyBorder="1" applyAlignment="1">
      <alignment horizontal="center" wrapText="1"/>
    </xf>
    <xf numFmtId="4" fontId="58" fillId="0" borderId="86" xfId="0" applyNumberFormat="1" applyFont="1" applyBorder="1" applyAlignment="1">
      <alignment vertical="center"/>
    </xf>
    <xf numFmtId="0" fontId="58" fillId="0" borderId="0" xfId="0" applyFont="1"/>
    <xf numFmtId="3" fontId="58" fillId="0" borderId="0" xfId="0" applyNumberFormat="1" applyFont="1"/>
    <xf numFmtId="4" fontId="58" fillId="0" borderId="0" xfId="0" applyNumberFormat="1" applyFont="1"/>
    <xf numFmtId="4" fontId="55" fillId="0" borderId="0" xfId="0" applyNumberFormat="1" applyFont="1"/>
    <xf numFmtId="0" fontId="58" fillId="0" borderId="86" xfId="0" applyFont="1" applyBorder="1" applyAlignment="1">
      <alignment vertical="center"/>
    </xf>
    <xf numFmtId="4" fontId="55" fillId="0" borderId="115" xfId="0" applyNumberFormat="1" applyFont="1" applyBorder="1"/>
    <xf numFmtId="4" fontId="55" fillId="0" borderId="125" xfId="0" applyNumberFormat="1" applyFont="1" applyBorder="1"/>
    <xf numFmtId="4" fontId="55" fillId="0" borderId="173" xfId="0" applyNumberFormat="1" applyFont="1" applyBorder="1"/>
    <xf numFmtId="4" fontId="58" fillId="0" borderId="86" xfId="0" applyNumberFormat="1" applyFont="1" applyBorder="1"/>
    <xf numFmtId="0" fontId="55" fillId="0" borderId="0" xfId="0" applyFont="1"/>
    <xf numFmtId="3" fontId="55" fillId="0" borderId="0" xfId="0" applyNumberFormat="1" applyFont="1"/>
    <xf numFmtId="4" fontId="34" fillId="0" borderId="6" xfId="0" applyNumberFormat="1" applyFont="1" applyBorder="1"/>
    <xf numFmtId="4" fontId="34" fillId="0" borderId="9" xfId="0" applyNumberFormat="1" applyFont="1" applyBorder="1"/>
    <xf numFmtId="3" fontId="34" fillId="0" borderId="9" xfId="0" applyNumberFormat="1" applyFont="1" applyBorder="1"/>
    <xf numFmtId="4" fontId="51" fillId="0" borderId="0" xfId="0" applyNumberFormat="1" applyFont="1"/>
    <xf numFmtId="3" fontId="51" fillId="0" borderId="0" xfId="0" applyNumberFormat="1" applyFont="1"/>
    <xf numFmtId="0" fontId="45" fillId="0" borderId="0" xfId="1" applyFont="1"/>
    <xf numFmtId="4" fontId="52" fillId="0" borderId="0" xfId="1" applyNumberFormat="1" applyFont="1"/>
    <xf numFmtId="0" fontId="55" fillId="0" borderId="138" xfId="0" applyFont="1" applyBorder="1" applyAlignment="1">
      <alignment wrapText="1"/>
    </xf>
    <xf numFmtId="0" fontId="50" fillId="0" borderId="39" xfId="0" applyFont="1" applyBorder="1" applyAlignment="1">
      <alignment horizontal="center" wrapText="1"/>
    </xf>
    <xf numFmtId="0" fontId="50" fillId="0" borderId="0" xfId="1" applyFont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/>
    </xf>
    <xf numFmtId="3" fontId="46" fillId="0" borderId="131" xfId="1" applyNumberFormat="1" applyFont="1" applyBorder="1" applyAlignment="1">
      <alignment horizontal="center"/>
    </xf>
    <xf numFmtId="3" fontId="46" fillId="0" borderId="92" xfId="1" applyNumberFormat="1" applyFont="1" applyBorder="1" applyAlignment="1">
      <alignment horizontal="center"/>
    </xf>
    <xf numFmtId="3" fontId="46" fillId="0" borderId="135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6" xfId="1" applyNumberFormat="1" applyFont="1" applyBorder="1" applyAlignment="1">
      <alignment horizontal="center"/>
    </xf>
    <xf numFmtId="3" fontId="46" fillId="0" borderId="100" xfId="1" applyNumberFormat="1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 wrapText="1"/>
    </xf>
    <xf numFmtId="3" fontId="46" fillId="0" borderId="92" xfId="1" applyNumberFormat="1" applyFont="1" applyBorder="1" applyAlignment="1">
      <alignment horizontal="center" wrapText="1"/>
    </xf>
    <xf numFmtId="3" fontId="46" fillId="0" borderId="135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6" xfId="1" applyNumberFormat="1" applyFont="1" applyBorder="1" applyAlignment="1">
      <alignment horizontal="center" wrapText="1"/>
    </xf>
    <xf numFmtId="4" fontId="46" fillId="0" borderId="100" xfId="1" applyNumberFormat="1" applyFont="1" applyBorder="1" applyAlignment="1">
      <alignment horizontal="center"/>
    </xf>
    <xf numFmtId="4" fontId="46" fillId="0" borderId="131" xfId="1" applyNumberFormat="1" applyFont="1" applyBorder="1" applyAlignment="1">
      <alignment horizontal="center"/>
    </xf>
    <xf numFmtId="4" fontId="46" fillId="0" borderId="92" xfId="1" applyNumberFormat="1" applyFont="1" applyBorder="1" applyAlignment="1">
      <alignment horizontal="center"/>
    </xf>
    <xf numFmtId="4" fontId="46" fillId="0" borderId="135" xfId="1" applyNumberFormat="1" applyFont="1" applyBorder="1" applyAlignment="1">
      <alignment horizontal="center"/>
    </xf>
    <xf numFmtId="4" fontId="46" fillId="0" borderId="46" xfId="1" applyNumberFormat="1" applyFont="1" applyBorder="1" applyAlignment="1">
      <alignment horizontal="center"/>
    </xf>
    <xf numFmtId="4" fontId="46" fillId="0" borderId="136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3" fontId="58" fillId="0" borderId="129" xfId="0" applyNumberFormat="1" applyFont="1" applyBorder="1" applyAlignment="1">
      <alignment horizontal="center"/>
    </xf>
    <xf numFmtId="0" fontId="55" fillId="0" borderId="173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0" fontId="55" fillId="0" borderId="115" xfId="0" applyFont="1" applyBorder="1" applyAlignment="1">
      <alignment horizontal="center" vertical="center"/>
    </xf>
    <xf numFmtId="0" fontId="55" fillId="0" borderId="85" xfId="0" applyFont="1" applyBorder="1" applyAlignment="1">
      <alignment horizontal="center" vertical="center"/>
    </xf>
    <xf numFmtId="0" fontId="50" fillId="0" borderId="129" xfId="0" applyFont="1" applyBorder="1" applyAlignment="1">
      <alignment horizontal="center" wrapText="1"/>
    </xf>
    <xf numFmtId="0" fontId="7" fillId="0" borderId="71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/>
    </xf>
    <xf numFmtId="0" fontId="7" fillId="0" borderId="73" xfId="0" applyFont="1" applyBorder="1" applyAlignment="1">
      <alignment horizontal="center"/>
    </xf>
    <xf numFmtId="0" fontId="7" fillId="0" borderId="6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122" xfId="0" applyFont="1" applyBorder="1" applyAlignment="1">
      <alignment horizontal="center" vertical="center" wrapText="1"/>
    </xf>
    <xf numFmtId="0" fontId="7" fillId="0" borderId="78" xfId="0" applyFont="1" applyBorder="1" applyAlignment="1">
      <alignment horizontal="center"/>
    </xf>
    <xf numFmtId="0" fontId="7" fillId="0" borderId="123" xfId="0" applyFont="1" applyBorder="1" applyAlignment="1">
      <alignment horizontal="center"/>
    </xf>
    <xf numFmtId="4" fontId="7" fillId="0" borderId="127" xfId="0" applyNumberFormat="1" applyFont="1" applyBorder="1" applyAlignment="1">
      <alignment horizontal="center" vertical="center" wrapText="1"/>
    </xf>
    <xf numFmtId="4" fontId="7" fillId="0" borderId="125" xfId="0" applyNumberFormat="1" applyFont="1" applyBorder="1" applyAlignment="1">
      <alignment horizontal="center"/>
    </xf>
    <xf numFmtId="4" fontId="7" fillId="0" borderId="126" xfId="0" applyNumberFormat="1" applyFont="1" applyBorder="1" applyAlignment="1">
      <alignment horizontal="center"/>
    </xf>
    <xf numFmtId="0" fontId="7" fillId="0" borderId="60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/>
    </xf>
    <xf numFmtId="0" fontId="7" fillId="0" borderId="68" xfId="0" applyFont="1" applyBorder="1" applyAlignment="1">
      <alignment horizontal="center"/>
    </xf>
    <xf numFmtId="0" fontId="21" fillId="0" borderId="164" xfId="0" applyFont="1" applyBorder="1" applyAlignment="1">
      <alignment horizontal="center" vertical="center" wrapText="1"/>
    </xf>
    <xf numFmtId="0" fontId="21" fillId="0" borderId="77" xfId="0" applyFont="1" applyBorder="1" applyAlignment="1">
      <alignment wrapText="1"/>
    </xf>
    <xf numFmtId="0" fontId="21" fillId="0" borderId="75" xfId="0" applyFont="1" applyBorder="1" applyAlignment="1">
      <alignment wrapText="1"/>
    </xf>
    <xf numFmtId="0" fontId="7" fillId="0" borderId="78" xfId="0" applyFont="1" applyBorder="1" applyAlignment="1">
      <alignment horizontal="center" wrapText="1"/>
    </xf>
    <xf numFmtId="0" fontId="7" fillId="0" borderId="123" xfId="0" applyFont="1" applyBorder="1" applyAlignment="1">
      <alignment horizontal="center" wrapText="1"/>
    </xf>
    <xf numFmtId="0" fontId="7" fillId="0" borderId="146" xfId="0" applyFont="1" applyBorder="1" applyAlignment="1">
      <alignment horizontal="center" vertical="center" wrapText="1"/>
    </xf>
    <xf numFmtId="0" fontId="7" fillId="0" borderId="147" xfId="0" applyFont="1" applyBorder="1" applyAlignment="1">
      <alignment horizontal="center" vertical="center" wrapText="1"/>
    </xf>
    <xf numFmtId="0" fontId="7" fillId="0" borderId="157" xfId="0" applyFont="1" applyBorder="1" applyAlignment="1">
      <alignment horizontal="center" vertical="center" wrapText="1"/>
    </xf>
    <xf numFmtId="0" fontId="7" fillId="0" borderId="167" xfId="0" applyFont="1" applyBorder="1" applyAlignment="1">
      <alignment horizontal="center" vertical="center" wrapText="1"/>
    </xf>
    <xf numFmtId="0" fontId="7" fillId="0" borderId="153" xfId="0" applyFont="1" applyBorder="1" applyAlignment="1">
      <alignment horizontal="center" vertical="center" wrapText="1"/>
    </xf>
    <xf numFmtId="0" fontId="7" fillId="0" borderId="158" xfId="0" applyFont="1" applyBorder="1" applyAlignment="1">
      <alignment horizontal="center" vertical="center" wrapText="1"/>
    </xf>
    <xf numFmtId="0" fontId="6" fillId="0" borderId="114" xfId="0" applyFont="1" applyBorder="1" applyAlignment="1">
      <alignment vertical="center"/>
    </xf>
    <xf numFmtId="0" fontId="6" fillId="0" borderId="130" xfId="0" applyFont="1" applyBorder="1" applyAlignment="1">
      <alignment vertical="center"/>
    </xf>
    <xf numFmtId="4" fontId="0" fillId="0" borderId="130" xfId="0" applyNumberFormat="1" applyBorder="1" applyAlignment="1">
      <alignment horizontal="right" vertical="center"/>
    </xf>
    <xf numFmtId="0" fontId="0" fillId="0" borderId="97" xfId="0" applyBorder="1" applyAlignment="1">
      <alignment horizontal="left"/>
    </xf>
    <xf numFmtId="0" fontId="0" fillId="0" borderId="98" xfId="0" applyBorder="1" applyAlignment="1">
      <alignment horizontal="left"/>
    </xf>
    <xf numFmtId="0" fontId="0" fillId="0" borderId="150" xfId="0" applyBorder="1" applyAlignment="1">
      <alignment horizontal="left"/>
    </xf>
    <xf numFmtId="4" fontId="0" fillId="0" borderId="133" xfId="0" applyNumberFormat="1" applyBorder="1" applyAlignment="1">
      <alignment horizontal="center"/>
    </xf>
    <xf numFmtId="4" fontId="0" fillId="0" borderId="138" xfId="0" applyNumberFormat="1" applyBorder="1" applyAlignment="1">
      <alignment horizontal="center"/>
    </xf>
    <xf numFmtId="0" fontId="0" fillId="0" borderId="72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78" xfId="0" applyBorder="1" applyAlignment="1">
      <alignment horizontal="left"/>
    </xf>
    <xf numFmtId="0" fontId="0" fillId="0" borderId="133" xfId="0" applyBorder="1" applyAlignment="1">
      <alignment horizontal="left" vertical="center" wrapText="1"/>
    </xf>
    <xf numFmtId="0" fontId="0" fillId="0" borderId="159" xfId="0" applyBorder="1" applyAlignment="1">
      <alignment horizontal="left" vertical="center" wrapText="1"/>
    </xf>
    <xf numFmtId="0" fontId="0" fillId="0" borderId="138" xfId="0" applyBorder="1" applyAlignment="1">
      <alignment horizontal="left" vertical="center" wrapText="1"/>
    </xf>
    <xf numFmtId="0" fontId="81" fillId="15" borderId="72" xfId="0" applyFont="1" applyFill="1" applyBorder="1" applyAlignment="1">
      <alignment horizontal="left"/>
    </xf>
    <xf numFmtId="0" fontId="81" fillId="15" borderId="56" xfId="0" applyFont="1" applyFill="1" applyBorder="1" applyAlignment="1">
      <alignment horizontal="left"/>
    </xf>
    <xf numFmtId="0" fontId="81" fillId="15" borderId="78" xfId="0" applyFont="1" applyFill="1" applyBorder="1" applyAlignment="1">
      <alignment horizontal="left"/>
    </xf>
    <xf numFmtId="10" fontId="72" fillId="15" borderId="72" xfId="0" applyNumberFormat="1" applyFont="1" applyFill="1" applyBorder="1" applyAlignment="1">
      <alignment horizontal="center"/>
    </xf>
    <xf numFmtId="10" fontId="72" fillId="15" borderId="64" xfId="0" applyNumberFormat="1" applyFont="1" applyFill="1" applyBorder="1" applyAlignment="1">
      <alignment horizontal="center"/>
    </xf>
    <xf numFmtId="0" fontId="81" fillId="15" borderId="157" xfId="0" applyFont="1" applyFill="1" applyBorder="1" applyAlignment="1">
      <alignment horizontal="left"/>
    </xf>
    <xf numFmtId="0" fontId="81" fillId="15" borderId="75" xfId="0" applyFont="1" applyFill="1" applyBorder="1" applyAlignment="1">
      <alignment horizontal="left"/>
    </xf>
    <xf numFmtId="0" fontId="81" fillId="15" borderId="174" xfId="0" applyFont="1" applyFill="1" applyBorder="1" applyAlignment="1">
      <alignment horizontal="left"/>
    </xf>
    <xf numFmtId="10" fontId="72" fillId="15" borderId="157" xfId="0" applyNumberFormat="1" applyFont="1" applyFill="1" applyBorder="1" applyAlignment="1">
      <alignment horizontal="center"/>
    </xf>
    <xf numFmtId="10" fontId="72" fillId="15" borderId="158" xfId="0" applyNumberFormat="1" applyFont="1" applyFill="1" applyBorder="1" applyAlignment="1">
      <alignment horizontal="center"/>
    </xf>
    <xf numFmtId="0" fontId="60" fillId="15" borderId="72" xfId="0" applyFont="1" applyFill="1" applyBorder="1" applyAlignment="1">
      <alignment horizontal="left" vertical="center" wrapText="1"/>
    </xf>
    <xf numFmtId="0" fontId="60" fillId="15" borderId="56" xfId="0" applyFont="1" applyFill="1" applyBorder="1" applyAlignment="1">
      <alignment horizontal="left" vertical="center" wrapText="1"/>
    </xf>
    <xf numFmtId="0" fontId="60" fillId="15" borderId="78" xfId="0" applyFont="1" applyFill="1" applyBorder="1" applyAlignment="1">
      <alignment horizontal="left" vertical="center" wrapText="1"/>
    </xf>
    <xf numFmtId="4" fontId="73" fillId="0" borderId="114" xfId="0" applyNumberFormat="1" applyFont="1" applyBorder="1" applyAlignment="1">
      <alignment horizontal="center"/>
    </xf>
    <xf numFmtId="4" fontId="73" fillId="0" borderId="130" xfId="0" applyNumberFormat="1" applyFont="1" applyBorder="1" applyAlignment="1">
      <alignment horizontal="center"/>
    </xf>
    <xf numFmtId="4" fontId="73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4" fontId="77" fillId="0" borderId="94" xfId="0" applyNumberFormat="1" applyFont="1" applyBorder="1" applyAlignment="1">
      <alignment horizontal="center"/>
    </xf>
    <xf numFmtId="4" fontId="77" fillId="0" borderId="130" xfId="0" applyNumberFormat="1" applyFont="1" applyBorder="1" applyAlignment="1">
      <alignment horizontal="center"/>
    </xf>
    <xf numFmtId="4" fontId="77" fillId="0" borderId="162" xfId="0" applyNumberFormat="1" applyFont="1" applyBorder="1" applyAlignment="1">
      <alignment horizontal="center"/>
    </xf>
    <xf numFmtId="4" fontId="77" fillId="0" borderId="114" xfId="0" applyNumberFormat="1" applyFont="1" applyBorder="1" applyAlignment="1">
      <alignment horizontal="center"/>
    </xf>
    <xf numFmtId="4" fontId="77" fillId="0" borderId="87" xfId="0" applyNumberFormat="1" applyFont="1" applyBorder="1" applyAlignment="1">
      <alignment horizontal="center"/>
    </xf>
    <xf numFmtId="0" fontId="69" fillId="0" borderId="146" xfId="5" applyFont="1" applyBorder="1" applyAlignment="1">
      <alignment horizontal="left" vertical="center" wrapText="1"/>
    </xf>
    <xf numFmtId="0" fontId="69" fillId="0" borderId="172" xfId="5" applyFont="1" applyBorder="1" applyAlignment="1">
      <alignment horizontal="left" vertical="center" wrapText="1"/>
    </xf>
    <xf numFmtId="0" fontId="76" fillId="0" borderId="94" xfId="0" applyFont="1" applyBorder="1" applyAlignment="1">
      <alignment horizontal="center" wrapText="1"/>
    </xf>
    <xf numFmtId="0" fontId="76" fillId="0" borderId="128" xfId="0" applyFont="1" applyBorder="1" applyAlignment="1">
      <alignment horizontal="center" wrapText="1"/>
    </xf>
    <xf numFmtId="4" fontId="76" fillId="0" borderId="94" xfId="0" applyNumberFormat="1" applyFont="1" applyBorder="1" applyAlignment="1">
      <alignment horizontal="center"/>
    </xf>
    <xf numFmtId="4" fontId="76" fillId="0" borderId="130" xfId="0" applyNumberFormat="1" applyFont="1" applyBorder="1" applyAlignment="1">
      <alignment horizontal="center"/>
    </xf>
    <xf numFmtId="4" fontId="76" fillId="0" borderId="162" xfId="0" applyNumberFormat="1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128" xfId="0" applyFont="1" applyBorder="1" applyAlignment="1">
      <alignment horizontal="center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4" fontId="31" fillId="0" borderId="66" xfId="5" applyNumberFormat="1" applyFont="1" applyBorder="1" applyAlignment="1">
      <alignment horizontal="center" vertical="center" wrapText="1"/>
    </xf>
    <xf numFmtId="4" fontId="31" fillId="0" borderId="77" xfId="5" applyNumberFormat="1" applyFont="1" applyBorder="1" applyAlignment="1">
      <alignment horizontal="center" vertical="center" wrapText="1"/>
    </xf>
    <xf numFmtId="4" fontId="31" fillId="0" borderId="75" xfId="5" applyNumberFormat="1" applyFont="1" applyBorder="1" applyAlignment="1">
      <alignment horizontal="center" vertical="center" wrapText="1"/>
    </xf>
    <xf numFmtId="4" fontId="31" fillId="0" borderId="66" xfId="3" applyNumberFormat="1" applyFont="1" applyBorder="1" applyAlignment="1">
      <alignment horizontal="center" vertical="center"/>
    </xf>
    <xf numFmtId="4" fontId="31" fillId="0" borderId="77" xfId="3" applyNumberFormat="1" applyFont="1" applyBorder="1" applyAlignment="1">
      <alignment horizontal="center" vertical="center"/>
    </xf>
    <xf numFmtId="4" fontId="31" fillId="0" borderId="75" xfId="3" applyNumberFormat="1" applyFont="1" applyBorder="1" applyAlignment="1">
      <alignment horizontal="center" vertical="center"/>
    </xf>
    <xf numFmtId="4" fontId="73" fillId="0" borderId="99" xfId="3" applyNumberFormat="1" applyFont="1" applyBorder="1" applyAlignment="1">
      <alignment horizontal="center" vertical="center"/>
    </xf>
    <xf numFmtId="4" fontId="31" fillId="0" borderId="147" xfId="3" applyNumberFormat="1" applyFont="1" applyBorder="1" applyAlignment="1">
      <alignment horizontal="center" vertical="center"/>
    </xf>
    <xf numFmtId="4" fontId="31" fillId="0" borderId="157" xfId="3" applyNumberFormat="1" applyFont="1" applyBorder="1" applyAlignment="1">
      <alignment horizontal="center" vertical="center"/>
    </xf>
    <xf numFmtId="4" fontId="31" fillId="0" borderId="78" xfId="5" applyNumberFormat="1" applyFont="1" applyBorder="1" applyAlignment="1">
      <alignment horizontal="center"/>
    </xf>
    <xf numFmtId="4" fontId="31" fillId="0" borderId="63" xfId="5" applyNumberFormat="1" applyFont="1" applyBorder="1" applyAlignment="1">
      <alignment horizontal="center"/>
    </xf>
    <xf numFmtId="4" fontId="7" fillId="0" borderId="77" xfId="5" applyNumberFormat="1" applyFont="1" applyBorder="1" applyAlignment="1">
      <alignment horizontal="center" vertical="center" wrapText="1"/>
    </xf>
    <xf numFmtId="4" fontId="7" fillId="0" borderId="75" xfId="5" applyNumberFormat="1" applyFont="1" applyBorder="1" applyAlignment="1">
      <alignment horizontal="center" vertical="center" wrapText="1"/>
    </xf>
    <xf numFmtId="4" fontId="7" fillId="0" borderId="66" xfId="5" applyNumberFormat="1" applyFont="1" applyBorder="1" applyAlignment="1">
      <alignment horizontal="center" vertical="center" wrapText="1"/>
    </xf>
    <xf numFmtId="4" fontId="31" fillId="0" borderId="67" xfId="5" applyNumberFormat="1" applyFont="1" applyBorder="1" applyAlignment="1">
      <alignment horizontal="center" vertical="center" wrapText="1"/>
    </xf>
    <xf numFmtId="4" fontId="31" fillId="0" borderId="153" xfId="5" applyNumberFormat="1" applyFont="1" applyBorder="1" applyAlignment="1">
      <alignment horizontal="center" vertical="center" wrapText="1"/>
    </xf>
    <xf numFmtId="4" fontId="31" fillId="0" borderId="158" xfId="5" applyNumberFormat="1" applyFont="1" applyBorder="1" applyAlignment="1">
      <alignment horizontal="center" vertical="center" wrapText="1"/>
    </xf>
    <xf numFmtId="4" fontId="65" fillId="0" borderId="66" xfId="5" applyNumberFormat="1" applyFont="1" applyBorder="1" applyAlignment="1">
      <alignment horizontal="center" vertical="center"/>
    </xf>
    <xf numFmtId="4" fontId="65" fillId="0" borderId="75" xfId="5" applyNumberFormat="1" applyFont="1" applyBorder="1" applyAlignment="1">
      <alignment horizontal="center" vertical="center"/>
    </xf>
    <xf numFmtId="4" fontId="65" fillId="0" borderId="66" xfId="5" applyNumberFormat="1" applyFont="1" applyBorder="1" applyAlignment="1">
      <alignment horizontal="center" vertical="center" wrapText="1"/>
    </xf>
    <xf numFmtId="4" fontId="65" fillId="0" borderId="75" xfId="5" applyNumberFormat="1" applyFont="1" applyBorder="1" applyAlignment="1">
      <alignment horizontal="center" vertical="center" wrapText="1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49" fontId="31" fillId="0" borderId="146" xfId="3" applyNumberFormat="1" applyFont="1" applyBorder="1" applyAlignment="1">
      <alignment horizontal="center" textRotation="90" wrapText="1"/>
    </xf>
    <xf numFmtId="49" fontId="31" fillId="0" borderId="147" xfId="3" applyNumberFormat="1" applyFont="1" applyBorder="1" applyAlignment="1">
      <alignment horizontal="center" textRotation="90" wrapText="1"/>
    </xf>
    <xf numFmtId="49" fontId="31" fillId="0" borderId="157" xfId="3" applyNumberFormat="1" applyFont="1" applyBorder="1" applyAlignment="1">
      <alignment horizontal="center" textRotation="90" wrapText="1"/>
    </xf>
    <xf numFmtId="0" fontId="31" fillId="0" borderId="172" xfId="3" applyFont="1" applyBorder="1" applyAlignment="1">
      <alignment horizontal="center" vertical="center" wrapText="1"/>
    </xf>
    <xf numFmtId="0" fontId="31" fillId="0" borderId="154" xfId="3" applyFont="1" applyBorder="1" applyAlignment="1">
      <alignment horizontal="center" vertical="center" wrapText="1"/>
    </xf>
    <xf numFmtId="0" fontId="31" fillId="0" borderId="174" xfId="3" applyFont="1" applyBorder="1" applyAlignment="1">
      <alignment horizontal="center" vertical="center" wrapText="1"/>
    </xf>
    <xf numFmtId="4" fontId="31" fillId="0" borderId="165" xfId="3" applyNumberFormat="1" applyFont="1" applyBorder="1" applyAlignment="1">
      <alignment horizontal="center" vertical="center"/>
    </xf>
    <xf numFmtId="4" fontId="31" fillId="0" borderId="166" xfId="3" applyNumberFormat="1" applyFont="1" applyBorder="1" applyAlignment="1">
      <alignment horizontal="center" vertical="center"/>
    </xf>
    <xf numFmtId="4" fontId="31" fillId="0" borderId="137" xfId="3" applyNumberFormat="1" applyFont="1" applyBorder="1" applyAlignment="1">
      <alignment horizontal="center" vertical="center"/>
    </xf>
    <xf numFmtId="4" fontId="31" fillId="0" borderId="92" xfId="3" applyNumberFormat="1" applyFont="1" applyBorder="1" applyAlignment="1">
      <alignment horizontal="center" vertical="center" wrapText="1"/>
    </xf>
    <xf numFmtId="4" fontId="31" fillId="0" borderId="91" xfId="3" applyNumberFormat="1" applyFont="1" applyBorder="1" applyAlignment="1">
      <alignment horizontal="center" vertical="center" wrapText="1"/>
    </xf>
    <xf numFmtId="4" fontId="31" fillId="0" borderId="88" xfId="3" applyNumberFormat="1" applyFont="1" applyBorder="1" applyAlignment="1">
      <alignment horizontal="center" vertical="center" wrapText="1"/>
    </xf>
    <xf numFmtId="4" fontId="64" fillId="0" borderId="100" xfId="5" applyNumberFormat="1" applyFont="1" applyBorder="1" applyAlignment="1">
      <alignment horizontal="center" vertical="center" wrapText="1"/>
    </xf>
    <xf numFmtId="4" fontId="64" fillId="0" borderId="131" xfId="5" applyNumberFormat="1" applyFont="1" applyBorder="1" applyAlignment="1">
      <alignment horizontal="center" vertical="center" wrapText="1"/>
    </xf>
    <xf numFmtId="4" fontId="64" fillId="0" borderId="92" xfId="5" applyNumberFormat="1" applyFont="1" applyBorder="1" applyAlignment="1">
      <alignment horizontal="center" vertical="center" wrapText="1"/>
    </xf>
    <xf numFmtId="4" fontId="64" fillId="0" borderId="168" xfId="5" applyNumberFormat="1" applyFont="1" applyBorder="1" applyAlignment="1">
      <alignment horizontal="center" vertical="center" wrapText="1"/>
    </xf>
    <xf numFmtId="4" fontId="64" fillId="0" borderId="0" xfId="5" applyNumberFormat="1" applyFont="1" applyAlignment="1">
      <alignment horizontal="center" vertical="center" wrapText="1"/>
    </xf>
    <xf numFmtId="4" fontId="64" fillId="0" borderId="91" xfId="5" applyNumberFormat="1" applyFont="1" applyBorder="1" applyAlignment="1">
      <alignment horizontal="center" vertical="center" wrapText="1"/>
    </xf>
    <xf numFmtId="3" fontId="73" fillId="0" borderId="100" xfId="0" applyNumberFormat="1" applyFont="1" applyBorder="1" applyAlignment="1">
      <alignment horizontal="center" vertical="center" wrapText="1"/>
    </xf>
    <xf numFmtId="3" fontId="73" fillId="0" borderId="131" xfId="0" applyNumberFormat="1" applyFont="1" applyBorder="1" applyAlignment="1">
      <alignment horizontal="center" vertical="center" wrapText="1"/>
    </xf>
    <xf numFmtId="3" fontId="73" fillId="0" borderId="92" xfId="0" applyNumberFormat="1" applyFont="1" applyBorder="1" applyAlignment="1">
      <alignment horizontal="center" vertical="center" wrapText="1"/>
    </xf>
    <xf numFmtId="3" fontId="73" fillId="0" borderId="168" xfId="0" applyNumberFormat="1" applyFont="1" applyBorder="1" applyAlignment="1">
      <alignment horizontal="center" vertical="center" wrapText="1"/>
    </xf>
    <xf numFmtId="3" fontId="73" fillId="0" borderId="0" xfId="0" applyNumberFormat="1" applyFont="1" applyAlignment="1">
      <alignment horizontal="center" vertical="center" wrapText="1"/>
    </xf>
    <xf numFmtId="3" fontId="73" fillId="0" borderId="91" xfId="0" applyNumberFormat="1" applyFont="1" applyBorder="1" applyAlignment="1">
      <alignment horizontal="center" vertical="center" wrapText="1"/>
    </xf>
    <xf numFmtId="3" fontId="73" fillId="0" borderId="101" xfId="0" applyNumberFormat="1" applyFont="1" applyBorder="1" applyAlignment="1">
      <alignment horizontal="center" vertical="center" wrapText="1"/>
    </xf>
    <xf numFmtId="3" fontId="73" fillId="0" borderId="129" xfId="0" applyNumberFormat="1" applyFont="1" applyBorder="1" applyAlignment="1">
      <alignment horizontal="center" vertical="center" wrapText="1"/>
    </xf>
    <xf numFmtId="3" fontId="73" fillId="0" borderId="88" xfId="0" applyNumberFormat="1" applyFont="1" applyBorder="1" applyAlignment="1">
      <alignment horizontal="center" vertical="center" wrapText="1"/>
    </xf>
    <xf numFmtId="4" fontId="31" fillId="0" borderId="133" xfId="3" applyNumberFormat="1" applyFont="1" applyBorder="1" applyAlignment="1">
      <alignment horizontal="center" vertical="center"/>
    </xf>
    <xf numFmtId="4" fontId="31" fillId="0" borderId="159" xfId="3" applyNumberFormat="1" applyFont="1" applyBorder="1" applyAlignment="1">
      <alignment horizontal="center" vertical="center"/>
    </xf>
    <xf numFmtId="4" fontId="31" fillId="0" borderId="63" xfId="3" applyNumberFormat="1" applyFont="1" applyBorder="1" applyAlignment="1">
      <alignment horizontal="center" vertical="center"/>
    </xf>
    <xf numFmtId="4" fontId="31" fillId="0" borderId="159" xfId="5" applyNumberFormat="1" applyFont="1" applyBorder="1" applyAlignment="1">
      <alignment horizontal="center"/>
    </xf>
    <xf numFmtId="4" fontId="21" fillId="0" borderId="165" xfId="5" applyNumberFormat="1" applyFont="1" applyBorder="1" applyAlignment="1">
      <alignment horizontal="center" vertical="center" wrapText="1"/>
    </xf>
    <xf numFmtId="4" fontId="21" fillId="0" borderId="166" xfId="5" applyNumberFormat="1" applyFont="1" applyBorder="1" applyAlignment="1">
      <alignment horizontal="center" vertical="center" wrapText="1"/>
    </xf>
    <xf numFmtId="4" fontId="21" fillId="0" borderId="137" xfId="5" applyNumberFormat="1" applyFont="1" applyBorder="1" applyAlignment="1">
      <alignment horizontal="center" vertical="center" wrapText="1"/>
    </xf>
    <xf numFmtId="4" fontId="73" fillId="0" borderId="101" xfId="0" applyNumberFormat="1" applyFont="1" applyBorder="1" applyAlignment="1">
      <alignment horizontal="center" vertical="center" wrapText="1"/>
    </xf>
    <xf numFmtId="4" fontId="73" fillId="0" borderId="129" xfId="0" applyNumberFormat="1" applyFont="1" applyBorder="1" applyAlignment="1">
      <alignment horizontal="center" vertical="center" wrapText="1"/>
    </xf>
    <xf numFmtId="4" fontId="73" fillId="0" borderId="88" xfId="0" applyNumberFormat="1" applyFont="1" applyBorder="1" applyAlignment="1">
      <alignment horizontal="center" vertical="center" wrapText="1"/>
    </xf>
    <xf numFmtId="4" fontId="31" fillId="0" borderId="132" xfId="3" applyNumberFormat="1" applyFont="1" applyBorder="1" applyAlignment="1">
      <alignment horizontal="center" vertical="center" wrapText="1"/>
    </xf>
    <xf numFmtId="4" fontId="31" fillId="0" borderId="84" xfId="3" applyNumberFormat="1" applyFont="1" applyBorder="1" applyAlignment="1">
      <alignment horizontal="center" vertical="center" wrapText="1"/>
    </xf>
    <xf numFmtId="4" fontId="31" fillId="0" borderId="85" xfId="3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Mesa&#269;n&#233;%20plnenie%202021/December%202021/tabu&#318;ky%20%20podrobn&#233;%20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tabu&#318;ky%20%20podrobn&#233;%20%202023.xlsx" TargetMode="External"/><Relationship Id="rId1" Type="http://schemas.openxmlformats.org/officeDocument/2006/relationships/externalLinkPath" Target="/Users/kovacikova/Documents/Rok%202023/Mesa&#269;n&#233;%20plnenie%202023/December%202023/tabu&#318;ky%20%20podrobn&#233;%20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W5">
            <v>95089.45</v>
          </cell>
          <cell r="X5">
            <v>0</v>
          </cell>
          <cell r="Y5">
            <v>0</v>
          </cell>
        </row>
        <row r="17">
          <cell r="W17">
            <v>44917.61</v>
          </cell>
          <cell r="X17">
            <v>0</v>
          </cell>
          <cell r="Y17">
            <v>0</v>
          </cell>
        </row>
        <row r="28">
          <cell r="W28">
            <v>81880.149999999994</v>
          </cell>
          <cell r="X28">
            <v>0</v>
          </cell>
          <cell r="Y28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41">
          <cell r="W41">
            <v>16791.120000000003</v>
          </cell>
          <cell r="X41">
            <v>0</v>
          </cell>
          <cell r="Y41">
            <v>0</v>
          </cell>
        </row>
        <row r="58">
          <cell r="W58">
            <v>0</v>
          </cell>
          <cell r="X58">
            <v>0</v>
          </cell>
          <cell r="Y58">
            <v>0</v>
          </cell>
        </row>
        <row r="62">
          <cell r="W62">
            <v>96</v>
          </cell>
          <cell r="X62">
            <v>41709.160000000003</v>
          </cell>
          <cell r="Y62">
            <v>0</v>
          </cell>
        </row>
        <row r="79">
          <cell r="W79">
            <v>79235.239999999991</v>
          </cell>
          <cell r="X79">
            <v>0</v>
          </cell>
          <cell r="Y79">
            <v>0</v>
          </cell>
        </row>
        <row r="88">
          <cell r="W88">
            <v>4320</v>
          </cell>
          <cell r="X88">
            <v>0</v>
          </cell>
          <cell r="Y88">
            <v>0</v>
          </cell>
        </row>
        <row r="92">
          <cell r="W92">
            <v>6496.46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4000</v>
          </cell>
          <cell r="X7">
            <v>0</v>
          </cell>
          <cell r="Y7">
            <v>0</v>
          </cell>
        </row>
        <row r="12">
          <cell r="W12">
            <v>13322.97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4725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6049.58</v>
          </cell>
          <cell r="X32">
            <v>0</v>
          </cell>
          <cell r="Y32">
            <v>0</v>
          </cell>
        </row>
        <row r="46">
          <cell r="W46">
            <v>2200</v>
          </cell>
          <cell r="X46">
            <v>0</v>
          </cell>
          <cell r="Y46">
            <v>0</v>
          </cell>
        </row>
        <row r="51">
          <cell r="W51">
            <v>3904.8700000000003</v>
          </cell>
          <cell r="X51">
            <v>0</v>
          </cell>
          <cell r="Y51">
            <v>0</v>
          </cell>
        </row>
      </sheetData>
      <sheetData sheetId="2">
        <row r="4">
          <cell r="W4">
            <v>87313.47</v>
          </cell>
          <cell r="X4">
            <v>8579.42</v>
          </cell>
          <cell r="Y4">
            <v>0</v>
          </cell>
        </row>
        <row r="20">
          <cell r="W20">
            <v>5183.54</v>
          </cell>
          <cell r="X20">
            <v>0</v>
          </cell>
          <cell r="Y20">
            <v>0</v>
          </cell>
        </row>
        <row r="26">
          <cell r="W26">
            <v>375.28</v>
          </cell>
          <cell r="X26">
            <v>0</v>
          </cell>
          <cell r="Y26">
            <v>0</v>
          </cell>
        </row>
        <row r="31">
          <cell r="W31">
            <v>10982.800000000001</v>
          </cell>
          <cell r="X31">
            <v>0</v>
          </cell>
          <cell r="Y31">
            <v>0</v>
          </cell>
        </row>
        <row r="34">
          <cell r="W34">
            <v>147025.38000000006</v>
          </cell>
          <cell r="X34">
            <v>0</v>
          </cell>
          <cell r="Y34">
            <v>0</v>
          </cell>
        </row>
        <row r="84">
          <cell r="W84">
            <v>1300</v>
          </cell>
          <cell r="X84">
            <v>11072.25</v>
          </cell>
          <cell r="Y84">
            <v>0</v>
          </cell>
        </row>
        <row r="89">
          <cell r="W89">
            <v>4965.4799999999996</v>
          </cell>
          <cell r="X89">
            <v>0</v>
          </cell>
          <cell r="Y89">
            <v>0</v>
          </cell>
        </row>
        <row r="95">
          <cell r="W95">
            <v>550</v>
          </cell>
          <cell r="X95">
            <v>0</v>
          </cell>
          <cell r="Y95">
            <v>0</v>
          </cell>
        </row>
      </sheetData>
      <sheetData sheetId="3">
        <row r="4">
          <cell r="W4">
            <v>13883.619999999999</v>
          </cell>
          <cell r="X4">
            <v>0</v>
          </cell>
          <cell r="Y4">
            <v>0</v>
          </cell>
        </row>
        <row r="17">
          <cell r="W17">
            <v>26478.920000000002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/>
          <cell r="X30"/>
          <cell r="Y30"/>
        </row>
      </sheetData>
      <sheetData sheetId="4">
        <row r="5">
          <cell r="W5">
            <v>574629.2300000001</v>
          </cell>
          <cell r="X5">
            <v>5590.42</v>
          </cell>
          <cell r="Y5">
            <v>0</v>
          </cell>
        </row>
        <row r="60">
          <cell r="W60">
            <v>126077.17</v>
          </cell>
          <cell r="X60">
            <v>0</v>
          </cell>
          <cell r="Y60">
            <v>0</v>
          </cell>
        </row>
        <row r="82">
          <cell r="W82">
            <v>57242.55</v>
          </cell>
          <cell r="X82">
            <v>0</v>
          </cell>
          <cell r="Y82">
            <v>0</v>
          </cell>
        </row>
        <row r="85">
          <cell r="W85">
            <v>57726.689999999995</v>
          </cell>
          <cell r="X85">
            <v>0</v>
          </cell>
          <cell r="Y85">
            <v>0</v>
          </cell>
        </row>
        <row r="93">
          <cell r="W93">
            <v>77467.839999999997</v>
          </cell>
          <cell r="X93">
            <v>0</v>
          </cell>
          <cell r="Y93">
            <v>0</v>
          </cell>
        </row>
        <row r="95">
          <cell r="W95">
            <v>3509.87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88711.37</v>
          </cell>
          <cell r="X120">
            <v>0</v>
          </cell>
          <cell r="Y120">
            <v>0</v>
          </cell>
        </row>
        <row r="123">
          <cell r="W123">
            <v>94515.24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5000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>
        <row r="5">
          <cell r="W5">
            <v>8825.25</v>
          </cell>
          <cell r="X5">
            <v>90773.48</v>
          </cell>
          <cell r="Y5">
            <v>0</v>
          </cell>
        </row>
        <row r="10">
          <cell r="W10">
            <v>726797.29</v>
          </cell>
          <cell r="X10">
            <v>0</v>
          </cell>
          <cell r="Y10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>
            <v>136138.75</v>
          </cell>
          <cell r="X30">
            <v>0</v>
          </cell>
          <cell r="Y30">
            <v>0</v>
          </cell>
        </row>
      </sheetData>
      <sheetData sheetId="6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139993.16</v>
          </cell>
          <cell r="Y7">
            <v>0</v>
          </cell>
        </row>
        <row r="15">
          <cell r="W15">
            <v>69700.92</v>
          </cell>
          <cell r="X15">
            <v>0</v>
          </cell>
          <cell r="Y15">
            <v>0</v>
          </cell>
        </row>
        <row r="17">
          <cell r="W17">
            <v>267230.02</v>
          </cell>
          <cell r="X17">
            <v>0</v>
          </cell>
          <cell r="Y17">
            <v>0</v>
          </cell>
        </row>
        <row r="19">
          <cell r="W19">
            <v>79756.25</v>
          </cell>
          <cell r="X19">
            <v>0</v>
          </cell>
          <cell r="Y19">
            <v>0</v>
          </cell>
        </row>
        <row r="26">
          <cell r="W26">
            <v>26394.06</v>
          </cell>
          <cell r="X26">
            <v>0</v>
          </cell>
          <cell r="Y26">
            <v>0</v>
          </cell>
        </row>
        <row r="28">
          <cell r="W28">
            <v>8396.16</v>
          </cell>
          <cell r="X28">
            <v>0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29547.97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>
        <row r="4">
          <cell r="W4">
            <v>150295.24</v>
          </cell>
          <cell r="X4">
            <v>0</v>
          </cell>
          <cell r="Y4">
            <v>0</v>
          </cell>
        </row>
        <row r="7">
          <cell r="W7">
            <v>0</v>
          </cell>
          <cell r="X7">
            <v>0</v>
          </cell>
          <cell r="Y7">
            <v>0</v>
          </cell>
        </row>
      </sheetData>
      <sheetData sheetId="8">
        <row r="4">
          <cell r="W4">
            <v>3597.5100000000007</v>
          </cell>
          <cell r="X4">
            <v>0</v>
          </cell>
          <cell r="Y4">
            <v>0</v>
          </cell>
        </row>
        <row r="20">
          <cell r="W20">
            <v>201563</v>
          </cell>
          <cell r="X20"/>
          <cell r="Y20"/>
        </row>
        <row r="21">
          <cell r="W21">
            <v>311175</v>
          </cell>
          <cell r="X21">
            <v>15046</v>
          </cell>
          <cell r="Y21"/>
        </row>
        <row r="22">
          <cell r="W22">
            <v>488852</v>
          </cell>
          <cell r="X22">
            <v>11680.96</v>
          </cell>
          <cell r="Y22"/>
        </row>
        <row r="23">
          <cell r="W23"/>
          <cell r="X23"/>
          <cell r="Y23"/>
        </row>
        <row r="24">
          <cell r="W24">
            <v>242603</v>
          </cell>
          <cell r="X24"/>
          <cell r="Y24"/>
        </row>
        <row r="25">
          <cell r="W25">
            <v>259796</v>
          </cell>
          <cell r="X25"/>
          <cell r="Y25"/>
        </row>
        <row r="26">
          <cell r="W26">
            <v>258931</v>
          </cell>
          <cell r="X26">
            <v>56375.12</v>
          </cell>
          <cell r="Y26"/>
        </row>
        <row r="27">
          <cell r="W27">
            <v>42840</v>
          </cell>
          <cell r="X27"/>
          <cell r="Y27"/>
        </row>
        <row r="29">
          <cell r="W29">
            <v>549672</v>
          </cell>
          <cell r="X29">
            <v>9240</v>
          </cell>
          <cell r="Y29">
            <v>0</v>
          </cell>
        </row>
        <row r="32">
          <cell r="W32">
            <v>855440</v>
          </cell>
          <cell r="X32">
            <v>0</v>
          </cell>
          <cell r="Y32">
            <v>0</v>
          </cell>
        </row>
        <row r="36">
          <cell r="W36">
            <v>1485900</v>
          </cell>
          <cell r="X36">
            <v>0</v>
          </cell>
          <cell r="Y36">
            <v>0</v>
          </cell>
        </row>
        <row r="41">
          <cell r="W41">
            <v>1253413</v>
          </cell>
          <cell r="X41">
            <v>68637.929999999993</v>
          </cell>
          <cell r="Y41">
            <v>0</v>
          </cell>
        </row>
        <row r="44">
          <cell r="W44">
            <v>1026169</v>
          </cell>
          <cell r="X44">
            <v>0</v>
          </cell>
          <cell r="Y44">
            <v>0</v>
          </cell>
        </row>
        <row r="47">
          <cell r="W47">
            <v>590147</v>
          </cell>
          <cell r="X47">
            <v>0</v>
          </cell>
          <cell r="Y47">
            <v>0</v>
          </cell>
        </row>
        <row r="51">
          <cell r="W51">
            <v>517868</v>
          </cell>
          <cell r="X51"/>
          <cell r="Y51"/>
        </row>
        <row r="52">
          <cell r="W52">
            <v>231400</v>
          </cell>
          <cell r="X52"/>
          <cell r="Y52"/>
        </row>
        <row r="53">
          <cell r="W53">
            <v>344600.22</v>
          </cell>
          <cell r="X53">
            <v>0</v>
          </cell>
          <cell r="Y53">
            <v>0</v>
          </cell>
        </row>
        <row r="70">
          <cell r="W70">
            <v>621982.06000000006</v>
          </cell>
          <cell r="X70">
            <v>25306.79</v>
          </cell>
          <cell r="Y70"/>
        </row>
        <row r="71">
          <cell r="W71">
            <v>161788.28999999998</v>
          </cell>
          <cell r="X71">
            <v>0</v>
          </cell>
          <cell r="Y71">
            <v>0</v>
          </cell>
        </row>
        <row r="78">
          <cell r="W78">
            <v>388913.99</v>
          </cell>
          <cell r="X78"/>
          <cell r="Y78"/>
        </row>
      </sheetData>
      <sheetData sheetId="9">
        <row r="4">
          <cell r="W4">
            <v>1332.76</v>
          </cell>
          <cell r="X4">
            <v>0</v>
          </cell>
          <cell r="Y4">
            <v>0</v>
          </cell>
        </row>
        <row r="12">
          <cell r="W12">
            <v>21972.060000000005</v>
          </cell>
          <cell r="X12">
            <v>0</v>
          </cell>
          <cell r="Y12">
            <v>0</v>
          </cell>
        </row>
        <row r="30">
          <cell r="W30">
            <v>51888.53</v>
          </cell>
          <cell r="X30">
            <v>0</v>
          </cell>
          <cell r="Y30">
            <v>0</v>
          </cell>
        </row>
        <row r="48">
          <cell r="W48">
            <v>17309.63</v>
          </cell>
          <cell r="X48">
            <v>16983.05</v>
          </cell>
          <cell r="Y48">
            <v>0</v>
          </cell>
        </row>
        <row r="58">
          <cell r="W58">
            <v>159955.13999999998</v>
          </cell>
          <cell r="X58">
            <v>3200</v>
          </cell>
          <cell r="Y58">
            <v>0</v>
          </cell>
        </row>
        <row r="78">
          <cell r="W78">
            <v>7935.4</v>
          </cell>
          <cell r="X78">
            <v>0</v>
          </cell>
          <cell r="Y78">
            <v>0</v>
          </cell>
        </row>
        <row r="86">
          <cell r="W86">
            <v>239.93</v>
          </cell>
          <cell r="X86">
            <v>0</v>
          </cell>
          <cell r="Y86">
            <v>0</v>
          </cell>
        </row>
        <row r="91">
          <cell r="W91">
            <v>14295.45</v>
          </cell>
          <cell r="X91">
            <v>0</v>
          </cell>
          <cell r="Y91">
            <v>0</v>
          </cell>
        </row>
        <row r="99">
          <cell r="W99">
            <v>8934.4699999999993</v>
          </cell>
          <cell r="X99">
            <v>0</v>
          </cell>
          <cell r="Y99">
            <v>0</v>
          </cell>
        </row>
      </sheetData>
      <sheetData sheetId="10">
        <row r="4">
          <cell r="W4">
            <v>12577.740000000002</v>
          </cell>
          <cell r="X4">
            <v>0</v>
          </cell>
          <cell r="Y4">
            <v>0</v>
          </cell>
        </row>
        <row r="20">
          <cell r="W20">
            <v>163237.68</v>
          </cell>
          <cell r="X20">
            <v>0</v>
          </cell>
          <cell r="Y20">
            <v>0</v>
          </cell>
        </row>
        <row r="27">
          <cell r="W27">
            <v>4675.01</v>
          </cell>
          <cell r="X27">
            <v>0</v>
          </cell>
          <cell r="Y27">
            <v>0</v>
          </cell>
        </row>
        <row r="37">
          <cell r="W37">
            <v>445643.5199999999</v>
          </cell>
          <cell r="X37">
            <v>1743553.29</v>
          </cell>
          <cell r="Y37">
            <v>4523.71</v>
          </cell>
        </row>
        <row r="122">
          <cell r="W122">
            <v>7632.46</v>
          </cell>
          <cell r="X122">
            <v>0</v>
          </cell>
          <cell r="Y122">
            <v>0</v>
          </cell>
        </row>
        <row r="134">
          <cell r="W134">
            <v>8715.4599999999991</v>
          </cell>
          <cell r="X134">
            <v>16856.68</v>
          </cell>
          <cell r="Y134">
            <v>0</v>
          </cell>
        </row>
        <row r="137">
          <cell r="W137">
            <v>7754</v>
          </cell>
          <cell r="X137">
            <v>0</v>
          </cell>
          <cell r="Y137">
            <v>0</v>
          </cell>
        </row>
      </sheetData>
      <sheetData sheetId="11">
        <row r="5">
          <cell r="W5">
            <v>362443.59</v>
          </cell>
          <cell r="X5">
            <v>0</v>
          </cell>
          <cell r="Y5">
            <v>0</v>
          </cell>
        </row>
        <row r="22">
          <cell r="W22">
            <v>800</v>
          </cell>
          <cell r="X22">
            <v>0</v>
          </cell>
          <cell r="Y22">
            <v>0</v>
          </cell>
        </row>
        <row r="24">
          <cell r="W24">
            <v>833.13</v>
          </cell>
          <cell r="X24">
            <v>0</v>
          </cell>
          <cell r="Y24">
            <v>0</v>
          </cell>
        </row>
        <row r="41">
          <cell r="W41">
            <v>496.8</v>
          </cell>
          <cell r="X41">
            <v>0</v>
          </cell>
          <cell r="Y41">
            <v>0</v>
          </cell>
        </row>
        <row r="45">
          <cell r="W45">
            <v>1105.8</v>
          </cell>
          <cell r="X45">
            <v>0</v>
          </cell>
          <cell r="Y45">
            <v>0</v>
          </cell>
        </row>
        <row r="48">
          <cell r="W48">
            <v>22395.17</v>
          </cell>
          <cell r="X48">
            <v>12117.13</v>
          </cell>
          <cell r="Y48">
            <v>0</v>
          </cell>
        </row>
        <row r="68">
          <cell r="W68">
            <v>485.26</v>
          </cell>
          <cell r="X68">
            <v>0</v>
          </cell>
          <cell r="Y68">
            <v>0</v>
          </cell>
        </row>
        <row r="70">
          <cell r="W70">
            <v>29289.4</v>
          </cell>
          <cell r="X70">
            <v>0</v>
          </cell>
          <cell r="Y70">
            <v>0</v>
          </cell>
        </row>
        <row r="74">
          <cell r="W74">
            <v>34373.660000000003</v>
          </cell>
          <cell r="X74">
            <v>35242.79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>
        <row r="5">
          <cell r="W5">
            <v>35850.92</v>
          </cell>
          <cell r="X5">
            <v>0</v>
          </cell>
          <cell r="Y5">
            <v>0</v>
          </cell>
        </row>
        <row r="8">
          <cell r="W8"/>
          <cell r="X8"/>
          <cell r="Y8"/>
        </row>
        <row r="9">
          <cell r="W9">
            <v>5263.94</v>
          </cell>
          <cell r="X9">
            <v>0</v>
          </cell>
          <cell r="Y9">
            <v>0</v>
          </cell>
        </row>
        <row r="17">
          <cell r="W17">
            <v>282850</v>
          </cell>
          <cell r="X17">
            <v>0</v>
          </cell>
          <cell r="Y17">
            <v>0</v>
          </cell>
        </row>
        <row r="21">
          <cell r="W21">
            <v>56000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63515.03</v>
          </cell>
          <cell r="X26">
            <v>0</v>
          </cell>
          <cell r="Y26">
            <v>0</v>
          </cell>
        </row>
        <row r="30">
          <cell r="W30">
            <v>38204</v>
          </cell>
          <cell r="X30">
            <v>3576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1072904.3399999999</v>
          </cell>
          <cell r="X35">
            <v>13800</v>
          </cell>
          <cell r="Y35">
            <v>0</v>
          </cell>
        </row>
        <row r="50">
          <cell r="W50">
            <v>194936</v>
          </cell>
          <cell r="X50">
            <v>0</v>
          </cell>
          <cell r="Y50">
            <v>0</v>
          </cell>
        </row>
        <row r="55">
          <cell r="W55">
            <v>50738.36</v>
          </cell>
          <cell r="X55">
            <v>21157.74</v>
          </cell>
          <cell r="Y55">
            <v>0</v>
          </cell>
        </row>
        <row r="59">
          <cell r="W59">
            <v>5160</v>
          </cell>
          <cell r="X59">
            <v>0</v>
          </cell>
          <cell r="Y59">
            <v>0</v>
          </cell>
        </row>
        <row r="62">
          <cell r="W62">
            <v>51155.23</v>
          </cell>
          <cell r="X62">
            <v>0</v>
          </cell>
          <cell r="Y62">
            <v>0</v>
          </cell>
        </row>
        <row r="65">
          <cell r="W65">
            <v>5230</v>
          </cell>
          <cell r="X65">
            <v>0</v>
          </cell>
          <cell r="Y65">
            <v>0</v>
          </cell>
        </row>
        <row r="67">
          <cell r="W67">
            <v>937.47</v>
          </cell>
          <cell r="X67">
            <v>0</v>
          </cell>
          <cell r="Y67">
            <v>0</v>
          </cell>
        </row>
        <row r="79">
          <cell r="W79">
            <v>33271.42</v>
          </cell>
          <cell r="X79">
            <v>0</v>
          </cell>
          <cell r="Y79">
            <v>0</v>
          </cell>
        </row>
        <row r="104">
          <cell r="W104">
            <v>2500</v>
          </cell>
          <cell r="X104">
            <v>0</v>
          </cell>
          <cell r="Y104">
            <v>0</v>
          </cell>
        </row>
        <row r="106">
          <cell r="W106">
            <v>132562.10999999999</v>
          </cell>
          <cell r="X106">
            <v>0</v>
          </cell>
          <cell r="Y106">
            <v>0</v>
          </cell>
        </row>
      </sheetData>
      <sheetData sheetId="13">
        <row r="24">
          <cell r="W24">
            <v>523549.99000000011</v>
          </cell>
          <cell r="X24">
            <v>0</v>
          </cell>
          <cell r="Y24">
            <v>208035.98</v>
          </cell>
        </row>
      </sheetData>
      <sheetData sheetId="14">
        <row r="4">
          <cell r="W4">
            <v>2029801.040000001</v>
          </cell>
          <cell r="X4">
            <v>0</v>
          </cell>
          <cell r="Y4">
            <v>0</v>
          </cell>
        </row>
        <row r="100">
          <cell r="W100"/>
          <cell r="X100"/>
          <cell r="Y100"/>
        </row>
        <row r="101">
          <cell r="W101">
            <v>8919.3700000000008</v>
          </cell>
          <cell r="X101">
            <v>0</v>
          </cell>
          <cell r="Y101">
            <v>0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Z5">
            <v>111670</v>
          </cell>
          <cell r="AA5">
            <v>0</v>
          </cell>
          <cell r="AB5">
            <v>0</v>
          </cell>
          <cell r="AC5">
            <v>110777.61</v>
          </cell>
          <cell r="AD5">
            <v>0</v>
          </cell>
          <cell r="AE5">
            <v>0</v>
          </cell>
        </row>
        <row r="17">
          <cell r="Z17">
            <v>50120</v>
          </cell>
          <cell r="AA17">
            <v>0</v>
          </cell>
          <cell r="AB17">
            <v>0</v>
          </cell>
          <cell r="AC17">
            <v>48329.929999999993</v>
          </cell>
          <cell r="AD17">
            <v>0</v>
          </cell>
          <cell r="AE17">
            <v>0</v>
          </cell>
        </row>
        <row r="28">
          <cell r="Z28">
            <v>86400</v>
          </cell>
          <cell r="AA28">
            <v>0</v>
          </cell>
          <cell r="AB28">
            <v>0</v>
          </cell>
          <cell r="AC28">
            <v>85580.4</v>
          </cell>
          <cell r="AD28">
            <v>0</v>
          </cell>
          <cell r="AE28">
            <v>0</v>
          </cell>
        </row>
        <row r="33">
          <cell r="Z33">
            <v>4400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</row>
        <row r="41">
          <cell r="Z41">
            <v>23945</v>
          </cell>
          <cell r="AA41">
            <v>0</v>
          </cell>
          <cell r="AB41">
            <v>0</v>
          </cell>
          <cell r="AC41">
            <v>17920.990000000002</v>
          </cell>
          <cell r="AD41">
            <v>0</v>
          </cell>
          <cell r="AE41">
            <v>0</v>
          </cell>
        </row>
        <row r="58">
          <cell r="Z58">
            <v>22500</v>
          </cell>
          <cell r="AA58">
            <v>0</v>
          </cell>
          <cell r="AB58">
            <v>0</v>
          </cell>
          <cell r="AC58">
            <v>2100</v>
          </cell>
          <cell r="AD58">
            <v>0</v>
          </cell>
          <cell r="AE58">
            <v>0</v>
          </cell>
        </row>
        <row r="62">
          <cell r="Z62">
            <v>2600</v>
          </cell>
          <cell r="AA62">
            <v>70000</v>
          </cell>
          <cell r="AB62">
            <v>0</v>
          </cell>
          <cell r="AC62">
            <v>940</v>
          </cell>
          <cell r="AD62">
            <v>42935.4</v>
          </cell>
          <cell r="AE62">
            <v>0</v>
          </cell>
        </row>
        <row r="79">
          <cell r="Z79">
            <v>101200</v>
          </cell>
          <cell r="AA79">
            <v>0</v>
          </cell>
          <cell r="AB79">
            <v>0</v>
          </cell>
          <cell r="AC79">
            <v>90960.98</v>
          </cell>
          <cell r="AD79">
            <v>0</v>
          </cell>
          <cell r="AE79">
            <v>0</v>
          </cell>
        </row>
        <row r="88">
          <cell r="Z88">
            <v>9100</v>
          </cell>
          <cell r="AA88">
            <v>0</v>
          </cell>
          <cell r="AB88">
            <v>0</v>
          </cell>
          <cell r="AC88">
            <v>9048</v>
          </cell>
          <cell r="AD88">
            <v>0</v>
          </cell>
          <cell r="AE88">
            <v>0</v>
          </cell>
        </row>
        <row r="92">
          <cell r="Z92">
            <v>14600</v>
          </cell>
          <cell r="AA92">
            <v>0</v>
          </cell>
          <cell r="AB92">
            <v>0</v>
          </cell>
          <cell r="AC92">
            <v>14024.529999999999</v>
          </cell>
          <cell r="AD92">
            <v>0</v>
          </cell>
          <cell r="AE92">
            <v>0</v>
          </cell>
        </row>
        <row r="95"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</sheetData>
      <sheetData sheetId="1">
        <row r="5">
          <cell r="Z5">
            <v>350</v>
          </cell>
          <cell r="AA5">
            <v>0</v>
          </cell>
          <cell r="AB5">
            <v>0</v>
          </cell>
          <cell r="AC5">
            <v>340.06</v>
          </cell>
          <cell r="AD5">
            <v>0</v>
          </cell>
          <cell r="AE5">
            <v>0</v>
          </cell>
        </row>
        <row r="7">
          <cell r="Z7">
            <v>5200</v>
          </cell>
          <cell r="AA7">
            <v>0</v>
          </cell>
          <cell r="AB7">
            <v>0</v>
          </cell>
          <cell r="AC7">
            <v>3881.3</v>
          </cell>
          <cell r="AD7">
            <v>0</v>
          </cell>
          <cell r="AE7">
            <v>0</v>
          </cell>
        </row>
        <row r="12">
          <cell r="Z12">
            <v>11150</v>
          </cell>
          <cell r="AA12">
            <v>0</v>
          </cell>
          <cell r="AB12">
            <v>0</v>
          </cell>
          <cell r="AC12">
            <v>11119.25</v>
          </cell>
          <cell r="AD12">
            <v>0</v>
          </cell>
          <cell r="AE12">
            <v>0</v>
          </cell>
        </row>
        <row r="20"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</row>
        <row r="27">
          <cell r="Z27">
            <v>2210</v>
          </cell>
          <cell r="AA27">
            <v>0</v>
          </cell>
          <cell r="AB27">
            <v>0</v>
          </cell>
          <cell r="AC27">
            <v>2208.2600000000002</v>
          </cell>
          <cell r="AD27">
            <v>0</v>
          </cell>
          <cell r="AE27">
            <v>0</v>
          </cell>
        </row>
        <row r="29">
          <cell r="Z29">
            <v>7000</v>
          </cell>
          <cell r="AA29">
            <v>0</v>
          </cell>
          <cell r="AB29">
            <v>0</v>
          </cell>
          <cell r="AC29">
            <v>7000</v>
          </cell>
          <cell r="AD29">
            <v>0</v>
          </cell>
          <cell r="AE29">
            <v>0</v>
          </cell>
        </row>
        <row r="32">
          <cell r="Z32">
            <v>18599</v>
          </cell>
          <cell r="AA32">
            <v>0</v>
          </cell>
          <cell r="AB32">
            <v>0</v>
          </cell>
          <cell r="AC32">
            <v>11793.94</v>
          </cell>
          <cell r="AD32">
            <v>0</v>
          </cell>
          <cell r="AE32">
            <v>0</v>
          </cell>
        </row>
        <row r="46">
          <cell r="Z46">
            <v>1500</v>
          </cell>
          <cell r="AA46">
            <v>0</v>
          </cell>
          <cell r="AB46">
            <v>0</v>
          </cell>
          <cell r="AC46">
            <v>1070</v>
          </cell>
          <cell r="AD46">
            <v>0</v>
          </cell>
          <cell r="AE46">
            <v>0</v>
          </cell>
        </row>
        <row r="51">
          <cell r="Z51">
            <v>5501</v>
          </cell>
          <cell r="AA51">
            <v>0</v>
          </cell>
          <cell r="AB51">
            <v>0</v>
          </cell>
          <cell r="AC51">
            <v>4412.71</v>
          </cell>
          <cell r="AD51">
            <v>0</v>
          </cell>
          <cell r="AE51">
            <v>0</v>
          </cell>
        </row>
      </sheetData>
      <sheetData sheetId="2">
        <row r="4">
          <cell r="Z4">
            <v>99602</v>
          </cell>
          <cell r="AA4">
            <v>138900</v>
          </cell>
          <cell r="AB4">
            <v>0</v>
          </cell>
          <cell r="AC4">
            <v>94599.6</v>
          </cell>
          <cell r="AD4">
            <v>138756</v>
          </cell>
          <cell r="AE4">
            <v>0</v>
          </cell>
        </row>
        <row r="22">
          <cell r="Z22">
            <v>4000</v>
          </cell>
          <cell r="AA22">
            <v>0</v>
          </cell>
          <cell r="AB22">
            <v>0</v>
          </cell>
          <cell r="AC22">
            <v>222.33</v>
          </cell>
          <cell r="AD22">
            <v>0</v>
          </cell>
          <cell r="AE22">
            <v>0</v>
          </cell>
        </row>
        <row r="28">
          <cell r="Z28">
            <v>800</v>
          </cell>
          <cell r="AA28">
            <v>0</v>
          </cell>
          <cell r="AB28">
            <v>0</v>
          </cell>
          <cell r="AC28">
            <v>57</v>
          </cell>
          <cell r="AD28">
            <v>0</v>
          </cell>
          <cell r="AE28">
            <v>0</v>
          </cell>
        </row>
        <row r="33">
          <cell r="Z33">
            <v>10200</v>
          </cell>
          <cell r="AA33">
            <v>0</v>
          </cell>
          <cell r="AB33">
            <v>0</v>
          </cell>
          <cell r="AC33">
            <v>7203.11</v>
          </cell>
          <cell r="AD33">
            <v>0</v>
          </cell>
          <cell r="AE33">
            <v>0</v>
          </cell>
        </row>
        <row r="36">
          <cell r="Z36">
            <v>232362</v>
          </cell>
          <cell r="AA36">
            <v>0</v>
          </cell>
          <cell r="AB36">
            <v>0</v>
          </cell>
          <cell r="AC36">
            <v>194080.37</v>
          </cell>
          <cell r="AD36">
            <v>0</v>
          </cell>
          <cell r="AE36">
            <v>0</v>
          </cell>
        </row>
        <row r="92">
          <cell r="Z92">
            <v>2000</v>
          </cell>
          <cell r="AA92">
            <v>0</v>
          </cell>
          <cell r="AB92">
            <v>0</v>
          </cell>
          <cell r="AC92">
            <v>266.5</v>
          </cell>
          <cell r="AD92">
            <v>0</v>
          </cell>
          <cell r="AE92">
            <v>0</v>
          </cell>
        </row>
        <row r="97">
          <cell r="Z97">
            <v>9400</v>
          </cell>
          <cell r="AA97">
            <v>0</v>
          </cell>
          <cell r="AB97">
            <v>0</v>
          </cell>
          <cell r="AC97">
            <v>8604.35</v>
          </cell>
          <cell r="AD97">
            <v>0</v>
          </cell>
          <cell r="AE97">
            <v>0</v>
          </cell>
        </row>
        <row r="103">
          <cell r="Z103">
            <v>550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</row>
      </sheetData>
      <sheetData sheetId="3">
        <row r="4">
          <cell r="Z4">
            <v>26990</v>
          </cell>
          <cell r="AA4">
            <v>0</v>
          </cell>
          <cell r="AB4">
            <v>0</v>
          </cell>
          <cell r="AC4">
            <v>21328.589999999997</v>
          </cell>
          <cell r="AD4">
            <v>0</v>
          </cell>
          <cell r="AE4">
            <v>0</v>
          </cell>
        </row>
        <row r="17">
          <cell r="Z17">
            <v>32620</v>
          </cell>
          <cell r="AA17">
            <v>0</v>
          </cell>
          <cell r="AB17">
            <v>0</v>
          </cell>
          <cell r="AC17">
            <v>30523.410000000003</v>
          </cell>
          <cell r="AD17">
            <v>0</v>
          </cell>
          <cell r="AE17">
            <v>0</v>
          </cell>
        </row>
        <row r="28"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</row>
        <row r="30">
          <cell r="Z30"/>
          <cell r="AA30"/>
          <cell r="AB30"/>
          <cell r="AC30"/>
          <cell r="AD30"/>
          <cell r="AE30"/>
        </row>
      </sheetData>
      <sheetData sheetId="4">
        <row r="5">
          <cell r="Z5">
            <v>681060</v>
          </cell>
          <cell r="AA5">
            <v>17100</v>
          </cell>
          <cell r="AB5">
            <v>0</v>
          </cell>
          <cell r="AC5">
            <v>673942.83000000007</v>
          </cell>
          <cell r="AD5">
            <v>16936.61</v>
          </cell>
          <cell r="AE5">
            <v>0</v>
          </cell>
        </row>
        <row r="60">
          <cell r="Z60">
            <v>162150</v>
          </cell>
          <cell r="AA60">
            <v>0</v>
          </cell>
          <cell r="AB60">
            <v>0</v>
          </cell>
          <cell r="AC60">
            <v>159812.94999999998</v>
          </cell>
          <cell r="AD60">
            <v>0</v>
          </cell>
          <cell r="AE60">
            <v>0</v>
          </cell>
        </row>
        <row r="83">
          <cell r="Z83">
            <v>74000</v>
          </cell>
          <cell r="AA83">
            <v>0</v>
          </cell>
          <cell r="AB83">
            <v>0</v>
          </cell>
          <cell r="AC83">
            <v>73279.289999999994</v>
          </cell>
          <cell r="AD83">
            <v>0</v>
          </cell>
          <cell r="AE83">
            <v>0</v>
          </cell>
        </row>
        <row r="86">
          <cell r="Z86">
            <v>78200</v>
          </cell>
          <cell r="AA86">
            <v>0</v>
          </cell>
          <cell r="AB86">
            <v>0</v>
          </cell>
          <cell r="AC86">
            <v>75974.460000000006</v>
          </cell>
          <cell r="AD86">
            <v>0</v>
          </cell>
          <cell r="AE86">
            <v>0</v>
          </cell>
        </row>
        <row r="94">
          <cell r="Z94">
            <v>5000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</row>
        <row r="96">
          <cell r="Z96">
            <v>8150</v>
          </cell>
          <cell r="AA96">
            <v>0</v>
          </cell>
          <cell r="AB96">
            <v>0</v>
          </cell>
          <cell r="AC96">
            <v>5030.1099999999997</v>
          </cell>
          <cell r="AD96">
            <v>0</v>
          </cell>
          <cell r="AE96">
            <v>0</v>
          </cell>
        </row>
        <row r="114">
          <cell r="Z114">
            <v>0</v>
          </cell>
          <cell r="AA114">
            <v>115000</v>
          </cell>
          <cell r="AB114">
            <v>0</v>
          </cell>
          <cell r="AC114">
            <v>0</v>
          </cell>
          <cell r="AD114">
            <v>115000</v>
          </cell>
          <cell r="AE114">
            <v>0</v>
          </cell>
        </row>
        <row r="121">
          <cell r="Z121">
            <v>93400</v>
          </cell>
          <cell r="AA121">
            <v>0</v>
          </cell>
          <cell r="AB121">
            <v>0</v>
          </cell>
          <cell r="AC121">
            <v>93302.27</v>
          </cell>
          <cell r="AD121">
            <v>0</v>
          </cell>
          <cell r="AE121">
            <v>0</v>
          </cell>
        </row>
        <row r="124">
          <cell r="Z124">
            <v>140000</v>
          </cell>
          <cell r="AA124">
            <v>0</v>
          </cell>
          <cell r="AB124">
            <v>0</v>
          </cell>
          <cell r="AC124">
            <v>136643.18</v>
          </cell>
          <cell r="AD124">
            <v>0</v>
          </cell>
          <cell r="AE124">
            <v>0</v>
          </cell>
        </row>
        <row r="127">
          <cell r="Z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</row>
        <row r="131">
          <cell r="Z131">
            <v>6187</v>
          </cell>
          <cell r="AA131">
            <v>0</v>
          </cell>
          <cell r="AB131">
            <v>0</v>
          </cell>
          <cell r="AC131">
            <v>5384.32</v>
          </cell>
          <cell r="AD131">
            <v>0</v>
          </cell>
          <cell r="AE131">
            <v>0</v>
          </cell>
        </row>
        <row r="133">
          <cell r="Z133">
            <v>3000</v>
          </cell>
          <cell r="AA133">
            <v>0</v>
          </cell>
          <cell r="AB133">
            <v>0</v>
          </cell>
          <cell r="AC133">
            <v>3000</v>
          </cell>
          <cell r="AD133">
            <v>0</v>
          </cell>
          <cell r="AE133">
            <v>0</v>
          </cell>
        </row>
      </sheetData>
      <sheetData sheetId="5">
        <row r="5">
          <cell r="Z5">
            <v>7900</v>
          </cell>
          <cell r="AA5">
            <v>0</v>
          </cell>
          <cell r="AB5">
            <v>0</v>
          </cell>
          <cell r="AC5">
            <v>7205.88</v>
          </cell>
          <cell r="AD5">
            <v>0</v>
          </cell>
          <cell r="AE5">
            <v>0</v>
          </cell>
        </row>
        <row r="10">
          <cell r="Z10">
            <v>990503</v>
          </cell>
          <cell r="AA10">
            <v>0</v>
          </cell>
          <cell r="AB10">
            <v>0</v>
          </cell>
          <cell r="AC10">
            <v>983571.07999999984</v>
          </cell>
          <cell r="AD10">
            <v>0</v>
          </cell>
          <cell r="AE10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</row>
        <row r="29"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</row>
        <row r="31">
          <cell r="Z31">
            <v>187500</v>
          </cell>
          <cell r="AA31">
            <v>0</v>
          </cell>
          <cell r="AB31">
            <v>0</v>
          </cell>
          <cell r="AC31">
            <v>179436.22</v>
          </cell>
          <cell r="AD31">
            <v>0</v>
          </cell>
          <cell r="AE31">
            <v>0</v>
          </cell>
        </row>
      </sheetData>
      <sheetData sheetId="6">
        <row r="5"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</row>
        <row r="7">
          <cell r="Z7">
            <v>0</v>
          </cell>
          <cell r="AA7">
            <v>227000</v>
          </cell>
          <cell r="AB7">
            <v>0</v>
          </cell>
          <cell r="AC7">
            <v>0</v>
          </cell>
          <cell r="AD7">
            <v>226899.96</v>
          </cell>
          <cell r="AE7">
            <v>0</v>
          </cell>
        </row>
        <row r="15">
          <cell r="Z15">
            <v>73000</v>
          </cell>
          <cell r="AA15">
            <v>0</v>
          </cell>
          <cell r="AB15">
            <v>0</v>
          </cell>
          <cell r="AC15">
            <v>72088.56</v>
          </cell>
          <cell r="AD15">
            <v>0</v>
          </cell>
          <cell r="AE15">
            <v>0</v>
          </cell>
        </row>
        <row r="17">
          <cell r="Z17">
            <v>300040</v>
          </cell>
          <cell r="AA17">
            <v>0</v>
          </cell>
          <cell r="AB17">
            <v>0</v>
          </cell>
          <cell r="AC17">
            <v>300027.12</v>
          </cell>
          <cell r="AD17">
            <v>0</v>
          </cell>
          <cell r="AE17">
            <v>0</v>
          </cell>
        </row>
        <row r="19">
          <cell r="Z19">
            <v>86100</v>
          </cell>
          <cell r="AA19">
            <v>0</v>
          </cell>
          <cell r="AB19">
            <v>0</v>
          </cell>
          <cell r="AC19">
            <v>85994.010000000009</v>
          </cell>
          <cell r="AD19">
            <v>0</v>
          </cell>
          <cell r="AE19">
            <v>0</v>
          </cell>
        </row>
        <row r="26">
          <cell r="Z26">
            <v>20000</v>
          </cell>
          <cell r="AA26">
            <v>0</v>
          </cell>
          <cell r="AB26">
            <v>0</v>
          </cell>
          <cell r="AC26">
            <v>10988</v>
          </cell>
          <cell r="AD26">
            <v>0</v>
          </cell>
          <cell r="AE26">
            <v>0</v>
          </cell>
        </row>
        <row r="28">
          <cell r="Z28">
            <v>5800</v>
          </cell>
          <cell r="AA28">
            <v>16800</v>
          </cell>
          <cell r="AB28">
            <v>0</v>
          </cell>
          <cell r="AC28">
            <v>5700.03</v>
          </cell>
          <cell r="AD28">
            <v>16758.580000000002</v>
          </cell>
          <cell r="AE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</row>
        <row r="36">
          <cell r="Z36">
            <v>1650</v>
          </cell>
          <cell r="AA36">
            <v>6168060</v>
          </cell>
          <cell r="AB36">
            <v>0</v>
          </cell>
          <cell r="AC36">
            <v>924</v>
          </cell>
          <cell r="AD36">
            <v>6093388.25</v>
          </cell>
          <cell r="AE36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Z4">
            <v>201000</v>
          </cell>
          <cell r="AA4">
            <v>0</v>
          </cell>
          <cell r="AB4">
            <v>0</v>
          </cell>
          <cell r="AC4">
            <v>200979.3</v>
          </cell>
          <cell r="AD4">
            <v>0</v>
          </cell>
          <cell r="AE4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</row>
      </sheetData>
      <sheetData sheetId="8">
        <row r="4">
          <cell r="Z4">
            <v>5000</v>
          </cell>
          <cell r="AA4">
            <v>0</v>
          </cell>
          <cell r="AB4">
            <v>0</v>
          </cell>
          <cell r="AC4">
            <v>4601.3200000000006</v>
          </cell>
          <cell r="AD4">
            <v>0</v>
          </cell>
          <cell r="AE4">
            <v>0</v>
          </cell>
        </row>
        <row r="20">
          <cell r="Z20">
            <v>241875</v>
          </cell>
          <cell r="AA20">
            <v>9000</v>
          </cell>
          <cell r="AB20"/>
          <cell r="AC20">
            <v>241875</v>
          </cell>
          <cell r="AD20">
            <v>9000</v>
          </cell>
          <cell r="AE20"/>
        </row>
        <row r="21">
          <cell r="Z21">
            <v>405637</v>
          </cell>
          <cell r="AA21">
            <v>11000</v>
          </cell>
          <cell r="AB21"/>
          <cell r="AC21">
            <v>405637</v>
          </cell>
          <cell r="AD21">
            <v>10928</v>
          </cell>
          <cell r="AE21"/>
        </row>
        <row r="22">
          <cell r="Z22">
            <v>593168</v>
          </cell>
          <cell r="AA22"/>
          <cell r="AB22"/>
          <cell r="AC22">
            <v>593168</v>
          </cell>
          <cell r="AD22"/>
          <cell r="AE22"/>
        </row>
        <row r="23">
          <cell r="Z23"/>
          <cell r="AA23"/>
          <cell r="AB23"/>
          <cell r="AC23"/>
          <cell r="AD23"/>
          <cell r="AE23"/>
        </row>
        <row r="24">
          <cell r="Z24">
            <v>290035</v>
          </cell>
          <cell r="AA24"/>
          <cell r="AB24"/>
          <cell r="AC24">
            <v>290035</v>
          </cell>
          <cell r="AD24"/>
          <cell r="AE24"/>
        </row>
        <row r="25">
          <cell r="Z25">
            <v>314075</v>
          </cell>
          <cell r="AA25"/>
          <cell r="AB25"/>
          <cell r="AC25">
            <v>314075</v>
          </cell>
          <cell r="AD25"/>
          <cell r="AE25"/>
        </row>
        <row r="26">
          <cell r="Z26">
            <v>314833</v>
          </cell>
          <cell r="AA26"/>
          <cell r="AB26"/>
          <cell r="AC26">
            <v>314833</v>
          </cell>
          <cell r="AD26"/>
          <cell r="AE26"/>
        </row>
        <row r="27">
          <cell r="Z27">
            <v>82112</v>
          </cell>
          <cell r="AA27"/>
          <cell r="AB27"/>
          <cell r="AC27">
            <v>82112</v>
          </cell>
          <cell r="AD27"/>
          <cell r="AE27"/>
        </row>
        <row r="29">
          <cell r="Z29">
            <v>745399</v>
          </cell>
          <cell r="AA29">
            <v>0</v>
          </cell>
          <cell r="AB29">
            <v>0</v>
          </cell>
          <cell r="AC29">
            <v>745399</v>
          </cell>
          <cell r="AD29">
            <v>0</v>
          </cell>
          <cell r="AE29">
            <v>0</v>
          </cell>
        </row>
        <row r="32">
          <cell r="Z32">
            <v>1059725</v>
          </cell>
          <cell r="AA32">
            <v>0</v>
          </cell>
          <cell r="AB32">
            <v>0</v>
          </cell>
          <cell r="AC32">
            <v>1059725</v>
          </cell>
          <cell r="AD32">
            <v>0</v>
          </cell>
          <cell r="AE32">
            <v>0</v>
          </cell>
        </row>
        <row r="36">
          <cell r="Z36">
            <v>1828972</v>
          </cell>
          <cell r="AA36">
            <v>0</v>
          </cell>
          <cell r="AB36">
            <v>0</v>
          </cell>
          <cell r="AC36">
            <v>1827071.75</v>
          </cell>
          <cell r="AD36">
            <v>0</v>
          </cell>
          <cell r="AE36">
            <v>0</v>
          </cell>
        </row>
        <row r="41">
          <cell r="Z41">
            <v>1548831</v>
          </cell>
          <cell r="AA41">
            <v>0</v>
          </cell>
          <cell r="AB41">
            <v>0</v>
          </cell>
          <cell r="AC41">
            <v>1519330.77</v>
          </cell>
          <cell r="AD41">
            <v>0</v>
          </cell>
          <cell r="AE41">
            <v>0</v>
          </cell>
        </row>
        <row r="44">
          <cell r="Z44">
            <v>1145597</v>
          </cell>
          <cell r="AA44">
            <v>60000</v>
          </cell>
          <cell r="AB44">
            <v>0</v>
          </cell>
          <cell r="AC44">
            <v>1145596.46</v>
          </cell>
          <cell r="AD44">
            <v>0</v>
          </cell>
          <cell r="AE44">
            <v>0</v>
          </cell>
        </row>
        <row r="47">
          <cell r="Z47">
            <v>700152</v>
          </cell>
          <cell r="AA47">
            <v>0</v>
          </cell>
          <cell r="AB47">
            <v>0</v>
          </cell>
          <cell r="AC47">
            <v>700152</v>
          </cell>
          <cell r="AD47">
            <v>0</v>
          </cell>
          <cell r="AE47">
            <v>0</v>
          </cell>
        </row>
        <row r="51">
          <cell r="Z51">
            <v>736500</v>
          </cell>
          <cell r="AA51"/>
          <cell r="AB51"/>
          <cell r="AC51">
            <v>736500</v>
          </cell>
          <cell r="AD51"/>
          <cell r="AE51"/>
        </row>
        <row r="52">
          <cell r="Z52">
            <v>302040</v>
          </cell>
          <cell r="AA52"/>
          <cell r="AB52"/>
          <cell r="AC52">
            <v>302040</v>
          </cell>
          <cell r="AD52"/>
          <cell r="AE52"/>
        </row>
        <row r="53">
          <cell r="Z53">
            <v>755522</v>
          </cell>
          <cell r="AA53">
            <v>0</v>
          </cell>
          <cell r="AB53">
            <v>0</v>
          </cell>
          <cell r="AC53">
            <v>747932.31</v>
          </cell>
          <cell r="AD53">
            <v>0</v>
          </cell>
          <cell r="AE53">
            <v>0</v>
          </cell>
        </row>
        <row r="74">
          <cell r="Z74">
            <v>963061</v>
          </cell>
          <cell r="AA74">
            <v>50964</v>
          </cell>
          <cell r="AB74"/>
          <cell r="AC74">
            <v>859677.33</v>
          </cell>
          <cell r="AD74">
            <v>50741.919999999998</v>
          </cell>
          <cell r="AE74"/>
        </row>
        <row r="75">
          <cell r="Z75">
            <v>134541</v>
          </cell>
          <cell r="AA75">
            <v>0</v>
          </cell>
          <cell r="AB75">
            <v>0</v>
          </cell>
          <cell r="AC75">
            <v>22146.02</v>
          </cell>
          <cell r="AD75">
            <v>0</v>
          </cell>
          <cell r="AE75">
            <v>0</v>
          </cell>
        </row>
        <row r="82">
          <cell r="Z82">
            <v>1074796</v>
          </cell>
          <cell r="AA82"/>
          <cell r="AB82"/>
          <cell r="AC82">
            <v>878363.11</v>
          </cell>
          <cell r="AD82"/>
          <cell r="AE82"/>
        </row>
      </sheetData>
      <sheetData sheetId="9">
        <row r="4">
          <cell r="Z4">
            <v>2510</v>
          </cell>
          <cell r="AA4">
            <v>0</v>
          </cell>
          <cell r="AB4">
            <v>0</v>
          </cell>
          <cell r="AC4">
            <v>2461.89</v>
          </cell>
          <cell r="AD4">
            <v>0</v>
          </cell>
          <cell r="AE4">
            <v>0</v>
          </cell>
        </row>
        <row r="12">
          <cell r="Z12">
            <v>62870</v>
          </cell>
          <cell r="AA12">
            <v>0</v>
          </cell>
          <cell r="AB12">
            <v>0</v>
          </cell>
          <cell r="AC12">
            <v>61795.549999999996</v>
          </cell>
          <cell r="AD12">
            <v>0</v>
          </cell>
          <cell r="AE12">
            <v>0</v>
          </cell>
        </row>
        <row r="32">
          <cell r="Z32">
            <v>89930</v>
          </cell>
          <cell r="AA32">
            <v>0</v>
          </cell>
          <cell r="AB32">
            <v>0</v>
          </cell>
          <cell r="AC32">
            <v>79820.62000000001</v>
          </cell>
          <cell r="AD32">
            <v>0</v>
          </cell>
          <cell r="AE32">
            <v>0</v>
          </cell>
        </row>
        <row r="52">
          <cell r="Z52">
            <v>39400</v>
          </cell>
          <cell r="AA52">
            <v>0</v>
          </cell>
          <cell r="AB52">
            <v>0</v>
          </cell>
          <cell r="AC52">
            <v>37659.86</v>
          </cell>
          <cell r="AD52">
            <v>0</v>
          </cell>
          <cell r="AE52">
            <v>0</v>
          </cell>
        </row>
        <row r="64">
          <cell r="Z64">
            <v>216900</v>
          </cell>
          <cell r="AA64">
            <v>0</v>
          </cell>
          <cell r="AB64">
            <v>0</v>
          </cell>
          <cell r="AC64">
            <v>215029.52000000002</v>
          </cell>
          <cell r="AD64">
            <v>0</v>
          </cell>
          <cell r="AE64">
            <v>0</v>
          </cell>
        </row>
        <row r="85">
          <cell r="Z85">
            <v>11800</v>
          </cell>
          <cell r="AA85">
            <v>0</v>
          </cell>
          <cell r="AB85">
            <v>0</v>
          </cell>
          <cell r="AC85">
            <v>9107.81</v>
          </cell>
          <cell r="AD85">
            <v>0</v>
          </cell>
          <cell r="AE85">
            <v>0</v>
          </cell>
        </row>
        <row r="93">
          <cell r="Z93">
            <v>2100</v>
          </cell>
          <cell r="AA93">
            <v>85005</v>
          </cell>
          <cell r="AB93">
            <v>0</v>
          </cell>
          <cell r="AC93">
            <v>712.26</v>
          </cell>
          <cell r="AD93">
            <v>78005</v>
          </cell>
          <cell r="AE93">
            <v>0</v>
          </cell>
        </row>
        <row r="99">
          <cell r="Z99">
            <v>30200</v>
          </cell>
          <cell r="AA99">
            <v>0</v>
          </cell>
          <cell r="AB99">
            <v>0</v>
          </cell>
          <cell r="AC99">
            <v>30165.78</v>
          </cell>
          <cell r="AD99">
            <v>0</v>
          </cell>
          <cell r="AE99">
            <v>0</v>
          </cell>
        </row>
        <row r="107">
          <cell r="Z107">
            <v>10000</v>
          </cell>
          <cell r="AA107">
            <v>0</v>
          </cell>
          <cell r="AB107">
            <v>0</v>
          </cell>
          <cell r="AC107">
            <v>9958.4500000000007</v>
          </cell>
          <cell r="AD107">
            <v>0</v>
          </cell>
          <cell r="AE107">
            <v>0</v>
          </cell>
        </row>
      </sheetData>
      <sheetData sheetId="10">
        <row r="4">
          <cell r="Z4">
            <v>18620</v>
          </cell>
          <cell r="AA4">
            <v>0</v>
          </cell>
          <cell r="AB4">
            <v>0</v>
          </cell>
          <cell r="AC4">
            <v>17824.310000000001</v>
          </cell>
          <cell r="AD4">
            <v>0</v>
          </cell>
          <cell r="AE4">
            <v>0</v>
          </cell>
        </row>
        <row r="20">
          <cell r="Z20">
            <v>199500</v>
          </cell>
          <cell r="AA20">
            <v>0</v>
          </cell>
          <cell r="AB20">
            <v>0</v>
          </cell>
          <cell r="AC20">
            <v>192849.67</v>
          </cell>
          <cell r="AD20">
            <v>0</v>
          </cell>
          <cell r="AE20">
            <v>0</v>
          </cell>
        </row>
        <row r="27">
          <cell r="Z27">
            <v>5550</v>
          </cell>
          <cell r="AA27">
            <v>0</v>
          </cell>
          <cell r="AB27">
            <v>0</v>
          </cell>
          <cell r="AC27">
            <v>2654.24</v>
          </cell>
          <cell r="AD27">
            <v>0</v>
          </cell>
          <cell r="AE27">
            <v>0</v>
          </cell>
        </row>
        <row r="37">
          <cell r="Z37">
            <v>756106</v>
          </cell>
          <cell r="AA37">
            <v>498000</v>
          </cell>
          <cell r="AB37">
            <v>0</v>
          </cell>
          <cell r="AC37">
            <v>746313.57</v>
          </cell>
          <cell r="AD37">
            <v>497584.93</v>
          </cell>
          <cell r="AE37">
            <v>0</v>
          </cell>
        </row>
        <row r="125">
          <cell r="Z125">
            <v>17149</v>
          </cell>
          <cell r="AA125">
            <v>0</v>
          </cell>
          <cell r="AB125">
            <v>0</v>
          </cell>
          <cell r="AC125">
            <v>11872.97</v>
          </cell>
          <cell r="AD125">
            <v>0</v>
          </cell>
          <cell r="AE125">
            <v>0</v>
          </cell>
        </row>
        <row r="140">
          <cell r="Z140">
            <v>105</v>
          </cell>
          <cell r="AA140">
            <v>0</v>
          </cell>
          <cell r="AB140">
            <v>0</v>
          </cell>
          <cell r="AC140">
            <v>101.3</v>
          </cell>
          <cell r="AD140">
            <v>0</v>
          </cell>
          <cell r="AE140">
            <v>0</v>
          </cell>
        </row>
        <row r="143">
          <cell r="Z143">
            <v>10000</v>
          </cell>
          <cell r="AA143">
            <v>0</v>
          </cell>
          <cell r="AB143">
            <v>0</v>
          </cell>
          <cell r="AC143">
            <v>10000</v>
          </cell>
          <cell r="AD143">
            <v>0</v>
          </cell>
          <cell r="AE143">
            <v>0</v>
          </cell>
        </row>
      </sheetData>
      <sheetData sheetId="11">
        <row r="5">
          <cell r="Z5">
            <v>396710</v>
          </cell>
          <cell r="AA5">
            <v>911660</v>
          </cell>
          <cell r="AB5">
            <v>0</v>
          </cell>
          <cell r="AC5">
            <v>326098.83999999997</v>
          </cell>
          <cell r="AD5">
            <v>257695.22</v>
          </cell>
          <cell r="AE5">
            <v>0</v>
          </cell>
        </row>
        <row r="22">
          <cell r="Z22">
            <v>13100</v>
          </cell>
          <cell r="AA22">
            <v>0</v>
          </cell>
          <cell r="AB22">
            <v>0</v>
          </cell>
          <cell r="AC22">
            <v>11814</v>
          </cell>
          <cell r="AD22">
            <v>0</v>
          </cell>
          <cell r="AE22">
            <v>0</v>
          </cell>
        </row>
        <row r="24">
          <cell r="Z24">
            <v>500</v>
          </cell>
          <cell r="AA24">
            <v>0</v>
          </cell>
          <cell r="AB24">
            <v>0</v>
          </cell>
          <cell r="AC24">
            <v>378.12</v>
          </cell>
          <cell r="AD24">
            <v>0</v>
          </cell>
          <cell r="AE24">
            <v>0</v>
          </cell>
        </row>
        <row r="41">
          <cell r="Z41">
            <v>3000</v>
          </cell>
          <cell r="AA41">
            <v>0</v>
          </cell>
          <cell r="AB41">
            <v>0</v>
          </cell>
          <cell r="AC41">
            <v>2605.1999999999998</v>
          </cell>
          <cell r="AD41">
            <v>0</v>
          </cell>
          <cell r="AE41">
            <v>0</v>
          </cell>
        </row>
        <row r="45">
          <cell r="Z45">
            <v>6110</v>
          </cell>
          <cell r="AA45">
            <v>0</v>
          </cell>
          <cell r="AB45">
            <v>0</v>
          </cell>
          <cell r="AC45">
            <v>5430</v>
          </cell>
          <cell r="AD45">
            <v>0</v>
          </cell>
          <cell r="AE45">
            <v>0</v>
          </cell>
        </row>
        <row r="48">
          <cell r="Z48">
            <v>33650</v>
          </cell>
          <cell r="AA48">
            <v>423500</v>
          </cell>
          <cell r="AB48">
            <v>0</v>
          </cell>
          <cell r="AC48">
            <v>32615.680000000008</v>
          </cell>
          <cell r="AD48">
            <v>422028.2</v>
          </cell>
          <cell r="AE48">
            <v>0</v>
          </cell>
        </row>
        <row r="68">
          <cell r="Z68">
            <v>505</v>
          </cell>
          <cell r="AA68">
            <v>0</v>
          </cell>
          <cell r="AB68">
            <v>0</v>
          </cell>
          <cell r="AC68">
            <v>500.05</v>
          </cell>
          <cell r="AD68">
            <v>0</v>
          </cell>
          <cell r="AE68">
            <v>0</v>
          </cell>
        </row>
        <row r="70">
          <cell r="Z70">
            <v>41000</v>
          </cell>
          <cell r="AA70">
            <v>0</v>
          </cell>
          <cell r="AB70">
            <v>0</v>
          </cell>
          <cell r="AC70">
            <v>40835.03</v>
          </cell>
          <cell r="AD70">
            <v>0</v>
          </cell>
          <cell r="AE70">
            <v>0</v>
          </cell>
        </row>
        <row r="74">
          <cell r="Z74">
            <v>38000</v>
          </cell>
          <cell r="AA74">
            <v>0</v>
          </cell>
          <cell r="AB74">
            <v>0</v>
          </cell>
          <cell r="AC74">
            <v>35683.279999999999</v>
          </cell>
          <cell r="AD74">
            <v>0</v>
          </cell>
          <cell r="AE74">
            <v>0</v>
          </cell>
        </row>
        <row r="102"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</row>
      </sheetData>
      <sheetData sheetId="12">
        <row r="5">
          <cell r="Z5">
            <v>32170</v>
          </cell>
          <cell r="AA5">
            <v>0</v>
          </cell>
          <cell r="AB5">
            <v>0</v>
          </cell>
          <cell r="AC5">
            <v>32170</v>
          </cell>
          <cell r="AD5">
            <v>0</v>
          </cell>
          <cell r="AE5">
            <v>0</v>
          </cell>
        </row>
        <row r="8">
          <cell r="Z8"/>
          <cell r="AA8"/>
          <cell r="AB8"/>
          <cell r="AC8"/>
          <cell r="AD8"/>
          <cell r="AE8"/>
        </row>
        <row r="9">
          <cell r="Z9">
            <v>9530</v>
          </cell>
          <cell r="AA9">
            <v>0</v>
          </cell>
          <cell r="AB9">
            <v>0</v>
          </cell>
          <cell r="AC9">
            <v>5710</v>
          </cell>
          <cell r="AD9">
            <v>0</v>
          </cell>
          <cell r="AE9">
            <v>0</v>
          </cell>
        </row>
        <row r="17">
          <cell r="Z17">
            <v>258490</v>
          </cell>
          <cell r="AA17">
            <v>11000</v>
          </cell>
          <cell r="AB17">
            <v>0</v>
          </cell>
          <cell r="AC17">
            <v>258490</v>
          </cell>
          <cell r="AD17">
            <v>0</v>
          </cell>
          <cell r="AE17">
            <v>0</v>
          </cell>
        </row>
        <row r="21">
          <cell r="Z21">
            <v>72150</v>
          </cell>
          <cell r="AA21">
            <v>0</v>
          </cell>
          <cell r="AB21">
            <v>0</v>
          </cell>
          <cell r="AC21">
            <v>72150</v>
          </cell>
          <cell r="AD21">
            <v>0</v>
          </cell>
          <cell r="AE21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6">
          <cell r="Z26">
            <v>99190</v>
          </cell>
          <cell r="AA26">
            <v>0</v>
          </cell>
          <cell r="AB26">
            <v>0</v>
          </cell>
          <cell r="AC26">
            <v>96748.27</v>
          </cell>
          <cell r="AD26">
            <v>0</v>
          </cell>
          <cell r="AE26">
            <v>0</v>
          </cell>
        </row>
        <row r="30">
          <cell r="Z30">
            <v>47260</v>
          </cell>
          <cell r="AA30">
            <v>0</v>
          </cell>
          <cell r="AB30">
            <v>0</v>
          </cell>
          <cell r="AC30">
            <v>47260</v>
          </cell>
          <cell r="AD30">
            <v>0</v>
          </cell>
          <cell r="AE30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</row>
        <row r="35">
          <cell r="Z35">
            <v>1417045</v>
          </cell>
          <cell r="AA35">
            <v>10000</v>
          </cell>
          <cell r="AB35">
            <v>0</v>
          </cell>
          <cell r="AC35">
            <v>1334614.9100000001</v>
          </cell>
          <cell r="AD35">
            <v>9980</v>
          </cell>
          <cell r="AE35">
            <v>0</v>
          </cell>
        </row>
        <row r="50">
          <cell r="Z50">
            <v>243160</v>
          </cell>
          <cell r="AA50">
            <v>0</v>
          </cell>
          <cell r="AB50">
            <v>0</v>
          </cell>
          <cell r="AC50">
            <v>243156.14</v>
          </cell>
          <cell r="AD50">
            <v>0</v>
          </cell>
          <cell r="AE50">
            <v>0</v>
          </cell>
        </row>
        <row r="55">
          <cell r="Z55">
            <v>41340</v>
          </cell>
          <cell r="AA55">
            <v>16640</v>
          </cell>
          <cell r="AB55">
            <v>0</v>
          </cell>
          <cell r="AC55">
            <v>41335.370000000003</v>
          </cell>
          <cell r="AD55">
            <v>16639.14</v>
          </cell>
          <cell r="AE55">
            <v>0</v>
          </cell>
        </row>
        <row r="59"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</row>
        <row r="62">
          <cell r="Z62">
            <v>71280</v>
          </cell>
          <cell r="AA62">
            <v>0</v>
          </cell>
          <cell r="AB62">
            <v>0</v>
          </cell>
          <cell r="AC62">
            <v>71281.119999999995</v>
          </cell>
          <cell r="AD62">
            <v>0</v>
          </cell>
          <cell r="AE62">
            <v>0</v>
          </cell>
        </row>
        <row r="65">
          <cell r="Z65">
            <v>6760</v>
          </cell>
          <cell r="AA65">
            <v>0</v>
          </cell>
          <cell r="AB65">
            <v>0</v>
          </cell>
          <cell r="AC65">
            <v>6760</v>
          </cell>
          <cell r="AD65">
            <v>0</v>
          </cell>
          <cell r="AE65">
            <v>0</v>
          </cell>
        </row>
        <row r="67">
          <cell r="Z67">
            <v>1005</v>
          </cell>
          <cell r="AA67">
            <v>0</v>
          </cell>
          <cell r="AB67">
            <v>0</v>
          </cell>
          <cell r="AC67">
            <v>1002.4</v>
          </cell>
          <cell r="AD67">
            <v>0</v>
          </cell>
          <cell r="AE67">
            <v>0</v>
          </cell>
        </row>
        <row r="79">
          <cell r="Z79">
            <v>45500</v>
          </cell>
          <cell r="AA79">
            <v>0</v>
          </cell>
          <cell r="AB79">
            <v>0</v>
          </cell>
          <cell r="AC79">
            <v>38666.35</v>
          </cell>
          <cell r="AD79">
            <v>0</v>
          </cell>
          <cell r="AE79">
            <v>0</v>
          </cell>
        </row>
        <row r="104">
          <cell r="Z104">
            <v>28000</v>
          </cell>
          <cell r="AA104">
            <v>0</v>
          </cell>
          <cell r="AB104">
            <v>0</v>
          </cell>
          <cell r="AC104">
            <v>15651.7</v>
          </cell>
          <cell r="AD104">
            <v>0</v>
          </cell>
          <cell r="AE104">
            <v>0</v>
          </cell>
        </row>
        <row r="106">
          <cell r="Z106">
            <v>150080</v>
          </cell>
          <cell r="AA106">
            <v>0</v>
          </cell>
          <cell r="AB106">
            <v>0</v>
          </cell>
          <cell r="AC106">
            <v>150066.79</v>
          </cell>
          <cell r="AD106">
            <v>0</v>
          </cell>
          <cell r="AE106">
            <v>0</v>
          </cell>
        </row>
        <row r="112">
          <cell r="Z112">
            <v>630000</v>
          </cell>
          <cell r="AA112">
            <v>0</v>
          </cell>
          <cell r="AB112">
            <v>7150</v>
          </cell>
          <cell r="AC112">
            <v>558308.37</v>
          </cell>
          <cell r="AD112">
            <v>0</v>
          </cell>
          <cell r="AE112">
            <v>0</v>
          </cell>
        </row>
      </sheetData>
      <sheetData sheetId="13">
        <row r="24">
          <cell r="Z24">
            <v>702040</v>
          </cell>
          <cell r="AA24">
            <v>0</v>
          </cell>
          <cell r="AB24">
            <v>208950</v>
          </cell>
          <cell r="AC24">
            <v>602396.80999999994</v>
          </cell>
          <cell r="AD24">
            <v>0</v>
          </cell>
          <cell r="AE24">
            <v>214983.36999999997</v>
          </cell>
        </row>
      </sheetData>
      <sheetData sheetId="14">
        <row r="4">
          <cell r="Z4">
            <v>2440458</v>
          </cell>
          <cell r="AA4">
            <v>836800</v>
          </cell>
          <cell r="AB4">
            <v>0</v>
          </cell>
          <cell r="AC4">
            <v>2282735.1999999997</v>
          </cell>
          <cell r="AD4">
            <v>821848.39</v>
          </cell>
          <cell r="AE4">
            <v>0</v>
          </cell>
        </row>
        <row r="102">
          <cell r="Z102"/>
          <cell r="AA102"/>
          <cell r="AB102"/>
          <cell r="AC102"/>
          <cell r="AD102"/>
          <cell r="AE102"/>
        </row>
        <row r="103">
          <cell r="Z103">
            <v>197000</v>
          </cell>
          <cell r="AA103">
            <v>0</v>
          </cell>
          <cell r="AB103">
            <v>2947800</v>
          </cell>
          <cell r="AC103">
            <v>196651.7</v>
          </cell>
          <cell r="AD103">
            <v>0</v>
          </cell>
          <cell r="AE103">
            <v>2685110.99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6"/>
  <sheetViews>
    <sheetView zoomScale="85" zoomScaleNormal="85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A38" sqref="A38:XFD38"/>
    </sheetView>
  </sheetViews>
  <sheetFormatPr defaultRowHeight="15" x14ac:dyDescent="0.25"/>
  <cols>
    <col min="1" max="1" width="67.85546875" style="319" customWidth="1"/>
    <col min="2" max="2" width="24.28515625" style="385" customWidth="1"/>
    <col min="3" max="3" width="24.28515625" style="758" customWidth="1"/>
    <col min="4" max="4" width="24.28515625" style="759" customWidth="1"/>
    <col min="5" max="5" width="24.28515625" style="758" customWidth="1"/>
    <col min="6" max="6" width="12.7109375" customWidth="1"/>
  </cols>
  <sheetData>
    <row r="1" spans="1:5" ht="28.5" thickBot="1" x14ac:dyDescent="0.45">
      <c r="A1" s="763" t="s">
        <v>642</v>
      </c>
      <c r="B1" s="763"/>
      <c r="C1" s="763"/>
      <c r="D1" s="763"/>
      <c r="E1" s="763"/>
    </row>
    <row r="2" spans="1:5" ht="21" thickBot="1" x14ac:dyDescent="0.35">
      <c r="A2" s="304" t="s">
        <v>404</v>
      </c>
      <c r="B2" s="368" t="s">
        <v>585</v>
      </c>
      <c r="C2" s="368" t="s">
        <v>615</v>
      </c>
      <c r="D2" s="251" t="s">
        <v>640</v>
      </c>
      <c r="E2" s="368" t="s">
        <v>641</v>
      </c>
    </row>
    <row r="3" spans="1:5" ht="18.75" thickBot="1" x14ac:dyDescent="0.3">
      <c r="A3" s="305" t="s">
        <v>406</v>
      </c>
      <c r="B3" s="369">
        <f t="shared" ref="B3:D3" si="0">B4+B17</f>
        <v>20389361.02</v>
      </c>
      <c r="C3" s="369">
        <f t="shared" si="0"/>
        <v>22156124.279999997</v>
      </c>
      <c r="D3" s="306">
        <f t="shared" si="0"/>
        <v>26296078</v>
      </c>
      <c r="E3" s="369">
        <f>E4+E17</f>
        <v>26143572.420000002</v>
      </c>
    </row>
    <row r="4" spans="1:5" ht="18" x14ac:dyDescent="0.25">
      <c r="A4" s="307" t="s">
        <v>5</v>
      </c>
      <c r="B4" s="370">
        <f t="shared" ref="B4:E4" si="1">B5+B7+B9</f>
        <v>11109713.800000001</v>
      </c>
      <c r="C4" s="370">
        <f t="shared" si="1"/>
        <v>11921381.27</v>
      </c>
      <c r="D4" s="308">
        <f t="shared" si="1"/>
        <v>12574400</v>
      </c>
      <c r="E4" s="370">
        <f t="shared" si="1"/>
        <v>12724485.52</v>
      </c>
    </row>
    <row r="5" spans="1:5" ht="15.75" x14ac:dyDescent="0.25">
      <c r="A5" s="309" t="s">
        <v>6</v>
      </c>
      <c r="B5" s="371">
        <f t="shared" ref="B5:E5" si="2">SUM(B6)</f>
        <v>8844006.8200000003</v>
      </c>
      <c r="C5" s="371">
        <f t="shared" si="2"/>
        <v>9580280.6099999994</v>
      </c>
      <c r="D5" s="260">
        <f t="shared" si="2"/>
        <v>9822530</v>
      </c>
      <c r="E5" s="371">
        <f t="shared" si="2"/>
        <v>10016762.65</v>
      </c>
    </row>
    <row r="6" spans="1:5" ht="15.75" x14ac:dyDescent="0.25">
      <c r="A6" s="310" t="s">
        <v>7</v>
      </c>
      <c r="B6" s="372">
        <v>8844006.8200000003</v>
      </c>
      <c r="C6" s="377">
        <v>9580280.6099999994</v>
      </c>
      <c r="D6" s="315">
        <v>9822530</v>
      </c>
      <c r="E6" s="377">
        <v>10016762.65</v>
      </c>
    </row>
    <row r="7" spans="1:5" ht="15.75" x14ac:dyDescent="0.25">
      <c r="A7" s="311" t="s">
        <v>8</v>
      </c>
      <c r="B7" s="371">
        <f t="shared" ref="B7:E7" si="3">SUM(B8)</f>
        <v>1268740.92</v>
      </c>
      <c r="C7" s="371">
        <f t="shared" si="3"/>
        <v>1297274.19</v>
      </c>
      <c r="D7" s="260">
        <f t="shared" si="3"/>
        <v>1565870</v>
      </c>
      <c r="E7" s="371">
        <f t="shared" si="3"/>
        <v>1565831.19</v>
      </c>
    </row>
    <row r="8" spans="1:5" ht="15.75" x14ac:dyDescent="0.25">
      <c r="A8" s="312" t="s">
        <v>9</v>
      </c>
      <c r="B8" s="372">
        <v>1268740.92</v>
      </c>
      <c r="C8" s="377">
        <v>1297274.19</v>
      </c>
      <c r="D8" s="315">
        <v>1565870</v>
      </c>
      <c r="E8" s="377">
        <v>1565831.19</v>
      </c>
    </row>
    <row r="9" spans="1:5" ht="15.75" x14ac:dyDescent="0.25">
      <c r="A9" s="311" t="s">
        <v>10</v>
      </c>
      <c r="B9" s="371">
        <f t="shared" ref="B9:E9" si="4">SUM(B10:B16)</f>
        <v>996966.05999999994</v>
      </c>
      <c r="C9" s="371">
        <f t="shared" si="4"/>
        <v>1043826.4700000001</v>
      </c>
      <c r="D9" s="260">
        <f t="shared" si="4"/>
        <v>1186000</v>
      </c>
      <c r="E9" s="371">
        <f t="shared" si="4"/>
        <v>1141891.6800000002</v>
      </c>
    </row>
    <row r="10" spans="1:5" ht="15.75" x14ac:dyDescent="0.25">
      <c r="A10" s="313" t="s">
        <v>11</v>
      </c>
      <c r="B10" s="373">
        <v>18051.68</v>
      </c>
      <c r="C10" s="755">
        <v>17179.11</v>
      </c>
      <c r="D10" s="424">
        <v>23000</v>
      </c>
      <c r="E10" s="755">
        <v>20196.64</v>
      </c>
    </row>
    <row r="11" spans="1:5" ht="15.75" x14ac:dyDescent="0.25">
      <c r="A11" s="313" t="s">
        <v>428</v>
      </c>
      <c r="B11" s="373">
        <v>14873.4</v>
      </c>
      <c r="C11" s="755">
        <v>19330.8</v>
      </c>
      <c r="D11" s="424">
        <v>26000</v>
      </c>
      <c r="E11" s="755">
        <v>25073.4</v>
      </c>
    </row>
    <row r="12" spans="1:5" ht="15.75" x14ac:dyDescent="0.25">
      <c r="A12" s="313" t="s">
        <v>12</v>
      </c>
      <c r="B12" s="373">
        <v>131116.6</v>
      </c>
      <c r="C12" s="755">
        <v>122945.24</v>
      </c>
      <c r="D12" s="424">
        <v>152000</v>
      </c>
      <c r="E12" s="755">
        <v>151851.64000000001</v>
      </c>
    </row>
    <row r="13" spans="1:5" ht="15.75" x14ac:dyDescent="0.25">
      <c r="A13" s="313" t="s">
        <v>13</v>
      </c>
      <c r="B13" s="373">
        <v>21328.65</v>
      </c>
      <c r="C13" s="755">
        <v>45210.12</v>
      </c>
      <c r="D13" s="424">
        <v>20215</v>
      </c>
      <c r="E13" s="755">
        <v>12432.75</v>
      </c>
    </row>
    <row r="14" spans="1:5" ht="15.75" x14ac:dyDescent="0.25">
      <c r="A14" s="313" t="s">
        <v>14</v>
      </c>
      <c r="B14" s="373">
        <v>625215.88</v>
      </c>
      <c r="C14" s="755">
        <v>613320.67000000004</v>
      </c>
      <c r="D14" s="424">
        <v>709000</v>
      </c>
      <c r="E14" s="755">
        <v>676788.74</v>
      </c>
    </row>
    <row r="15" spans="1:5" ht="15.75" x14ac:dyDescent="0.25">
      <c r="A15" s="313" t="s">
        <v>15</v>
      </c>
      <c r="B15" s="376">
        <v>184919.85</v>
      </c>
      <c r="C15" s="378">
        <v>196060.53</v>
      </c>
      <c r="D15" s="261">
        <v>211000</v>
      </c>
      <c r="E15" s="378">
        <v>210763.51</v>
      </c>
    </row>
    <row r="16" spans="1:5" ht="15.75" x14ac:dyDescent="0.25">
      <c r="A16" s="313" t="s">
        <v>557</v>
      </c>
      <c r="B16" s="374">
        <v>1460</v>
      </c>
      <c r="C16" s="756">
        <v>29780</v>
      </c>
      <c r="D16" s="757">
        <v>44785</v>
      </c>
      <c r="E16" s="756">
        <v>44785</v>
      </c>
    </row>
    <row r="17" spans="1:5" s="352" customFormat="1" ht="18.75" x14ac:dyDescent="0.3">
      <c r="A17" s="314" t="s">
        <v>16</v>
      </c>
      <c r="B17" s="375">
        <f>B18+B31+B54+B63</f>
        <v>9279647.2199999988</v>
      </c>
      <c r="C17" s="375">
        <f>C18+C31+C54+C63</f>
        <v>10234743.009999998</v>
      </c>
      <c r="D17" s="353">
        <f>D18+D31+D54+D63</f>
        <v>13721678</v>
      </c>
      <c r="E17" s="375">
        <f>E18+E31+E54+E63</f>
        <v>13419086.9</v>
      </c>
    </row>
    <row r="18" spans="1:5" ht="15.75" x14ac:dyDescent="0.25">
      <c r="A18" s="309" t="s">
        <v>17</v>
      </c>
      <c r="B18" s="371">
        <f t="shared" ref="B18:E18" si="5">SUM(B19:B30)</f>
        <v>940073.36</v>
      </c>
      <c r="C18" s="371">
        <f>SUM(C19:C30)</f>
        <v>1051994.3099999998</v>
      </c>
      <c r="D18" s="260">
        <f t="shared" si="5"/>
        <v>1189934</v>
      </c>
      <c r="E18" s="371">
        <f t="shared" si="5"/>
        <v>1159808.9099999999</v>
      </c>
    </row>
    <row r="19" spans="1:5" ht="15.75" x14ac:dyDescent="0.25">
      <c r="A19" s="310" t="s">
        <v>18</v>
      </c>
      <c r="B19" s="376">
        <v>83781.119999999995</v>
      </c>
      <c r="C19" s="378">
        <v>77721.39</v>
      </c>
      <c r="D19" s="261">
        <v>95000</v>
      </c>
      <c r="E19" s="378">
        <v>92087.73</v>
      </c>
    </row>
    <row r="20" spans="1:5" ht="15.75" x14ac:dyDescent="0.25">
      <c r="A20" s="310" t="s">
        <v>411</v>
      </c>
      <c r="B20" s="376">
        <v>5383</v>
      </c>
      <c r="C20" s="378">
        <v>17649</v>
      </c>
      <c r="D20" s="261">
        <v>20000</v>
      </c>
      <c r="E20" s="378">
        <v>17266.5</v>
      </c>
    </row>
    <row r="21" spans="1:5" s="434" customFormat="1" ht="15.75" x14ac:dyDescent="0.25">
      <c r="A21" s="313" t="s">
        <v>607</v>
      </c>
      <c r="B21" s="378">
        <f>2348.38+7922.51+2202.08+0+0+0+0+0+3850+0+0+6781.4+0</f>
        <v>23104.37</v>
      </c>
      <c r="C21" s="378">
        <f>4100+15489.25+7261.86+4914.44+809.06+8526.11</f>
        <v>41100.720000000001</v>
      </c>
      <c r="D21" s="261">
        <f>14465+12262+6064+6000+25643</f>
        <v>64434</v>
      </c>
      <c r="E21" s="378">
        <f>14654.9+12261.57+6008.57+5500+25643.27</f>
        <v>64068.31</v>
      </c>
    </row>
    <row r="22" spans="1:5" ht="15.75" x14ac:dyDescent="0.25">
      <c r="A22" s="310" t="s">
        <v>19</v>
      </c>
      <c r="B22" s="376">
        <v>1631.67</v>
      </c>
      <c r="C22" s="378">
        <v>1706.59</v>
      </c>
      <c r="D22" s="261">
        <v>3410</v>
      </c>
      <c r="E22" s="378">
        <v>3405.08</v>
      </c>
    </row>
    <row r="23" spans="1:5" ht="15.75" x14ac:dyDescent="0.25">
      <c r="A23" s="310" t="s">
        <v>20</v>
      </c>
      <c r="B23" s="376">
        <v>5</v>
      </c>
      <c r="C23" s="378">
        <v>0</v>
      </c>
      <c r="D23" s="261">
        <v>0</v>
      </c>
      <c r="E23" s="378">
        <v>0</v>
      </c>
    </row>
    <row r="24" spans="1:5" ht="15.75" x14ac:dyDescent="0.25">
      <c r="A24" s="310" t="s">
        <v>542</v>
      </c>
      <c r="B24" s="376">
        <v>735586.3</v>
      </c>
      <c r="C24" s="378">
        <v>811584.88</v>
      </c>
      <c r="D24" s="261">
        <v>866300</v>
      </c>
      <c r="E24" s="378">
        <v>866239.85</v>
      </c>
    </row>
    <row r="25" spans="1:5" ht="15.75" x14ac:dyDescent="0.25">
      <c r="A25" s="310" t="s">
        <v>22</v>
      </c>
      <c r="B25" s="376">
        <v>10069.26</v>
      </c>
      <c r="C25" s="378">
        <v>4528.84</v>
      </c>
      <c r="D25" s="261">
        <v>20990</v>
      </c>
      <c r="E25" s="378">
        <v>17426.240000000002</v>
      </c>
    </row>
    <row r="26" spans="1:5" ht="15.75" x14ac:dyDescent="0.25">
      <c r="A26" s="310" t="s">
        <v>23</v>
      </c>
      <c r="B26" s="376">
        <v>9609.7199999999993</v>
      </c>
      <c r="C26" s="378">
        <v>12990.95</v>
      </c>
      <c r="D26" s="261">
        <v>12000</v>
      </c>
      <c r="E26" s="378">
        <v>5052.62</v>
      </c>
    </row>
    <row r="27" spans="1:5" ht="15.75" x14ac:dyDescent="0.25">
      <c r="A27" s="310" t="s">
        <v>24</v>
      </c>
      <c r="B27" s="376">
        <v>4622.1400000000003</v>
      </c>
      <c r="C27" s="378">
        <v>5189.1899999999996</v>
      </c>
      <c r="D27" s="261">
        <v>5740</v>
      </c>
      <c r="E27" s="378">
        <v>5732.74</v>
      </c>
    </row>
    <row r="28" spans="1:5" ht="15.75" x14ac:dyDescent="0.25">
      <c r="A28" s="310" t="s">
        <v>25</v>
      </c>
      <c r="B28" s="376">
        <v>29580.2</v>
      </c>
      <c r="C28" s="378">
        <v>25370.6</v>
      </c>
      <c r="D28" s="261">
        <v>30000</v>
      </c>
      <c r="E28" s="378">
        <v>24982.400000000001</v>
      </c>
    </row>
    <row r="29" spans="1:5" ht="15.75" x14ac:dyDescent="0.25">
      <c r="A29" s="310" t="s">
        <v>26</v>
      </c>
      <c r="B29" s="376">
        <v>30365.75</v>
      </c>
      <c r="C29" s="378">
        <v>42778.6</v>
      </c>
      <c r="D29" s="261">
        <v>45000</v>
      </c>
      <c r="E29" s="378">
        <v>38828.400000000001</v>
      </c>
    </row>
    <row r="30" spans="1:5" ht="15.75" x14ac:dyDescent="0.25">
      <c r="A30" s="312" t="s">
        <v>28</v>
      </c>
      <c r="B30" s="377">
        <v>6334.83</v>
      </c>
      <c r="C30" s="377">
        <v>11373.55</v>
      </c>
      <c r="D30" s="315">
        <v>27060</v>
      </c>
      <c r="E30" s="377">
        <v>24719.040000000001</v>
      </c>
    </row>
    <row r="31" spans="1:5" s="340" customFormat="1" ht="15.75" x14ac:dyDescent="0.25">
      <c r="A31" s="309" t="s">
        <v>29</v>
      </c>
      <c r="B31" s="371">
        <f>SUM(B32:B53)</f>
        <v>1136020.07</v>
      </c>
      <c r="C31" s="371">
        <f>SUM(C32:C53)</f>
        <v>1680171.44</v>
      </c>
      <c r="D31" s="260">
        <f>SUM(D32:D53)</f>
        <v>2065573</v>
      </c>
      <c r="E31" s="371">
        <f>SUM(E32:E53)</f>
        <v>1855017.76</v>
      </c>
    </row>
    <row r="32" spans="1:5" ht="15.75" x14ac:dyDescent="0.25">
      <c r="A32" s="310" t="s">
        <v>30</v>
      </c>
      <c r="B32" s="376">
        <v>0</v>
      </c>
      <c r="C32" s="378">
        <v>0</v>
      </c>
      <c r="D32" s="261">
        <v>1000</v>
      </c>
      <c r="E32" s="378">
        <v>100</v>
      </c>
    </row>
    <row r="33" spans="1:5" ht="15.75" x14ac:dyDescent="0.25">
      <c r="A33" s="310" t="s">
        <v>31</v>
      </c>
      <c r="B33" s="378">
        <v>28194</v>
      </c>
      <c r="C33" s="378">
        <v>24820</v>
      </c>
      <c r="D33" s="261">
        <v>30000</v>
      </c>
      <c r="E33" s="378">
        <v>21126.5</v>
      </c>
    </row>
    <row r="34" spans="1:5" ht="15.75" x14ac:dyDescent="0.25">
      <c r="A34" s="310" t="s">
        <v>32</v>
      </c>
      <c r="B34" s="376">
        <v>5930</v>
      </c>
      <c r="C34" s="378">
        <v>6520</v>
      </c>
      <c r="D34" s="261">
        <v>7000</v>
      </c>
      <c r="E34" s="378">
        <v>5448</v>
      </c>
    </row>
    <row r="35" spans="1:5" ht="15.75" x14ac:dyDescent="0.25">
      <c r="A35" s="310" t="s">
        <v>538</v>
      </c>
      <c r="B35" s="376">
        <v>1285</v>
      </c>
      <c r="C35" s="378">
        <v>990</v>
      </c>
      <c r="D35" s="261">
        <v>1500</v>
      </c>
      <c r="E35" s="378">
        <v>1040</v>
      </c>
    </row>
    <row r="36" spans="1:5" ht="15.75" x14ac:dyDescent="0.25">
      <c r="A36" s="310" t="s">
        <v>34</v>
      </c>
      <c r="B36" s="376">
        <v>491</v>
      </c>
      <c r="C36" s="378">
        <v>655</v>
      </c>
      <c r="D36" s="261">
        <v>1000</v>
      </c>
      <c r="E36" s="378">
        <v>394</v>
      </c>
    </row>
    <row r="37" spans="1:5" ht="15.75" x14ac:dyDescent="0.25">
      <c r="A37" s="310" t="s">
        <v>35</v>
      </c>
      <c r="B37" s="376">
        <v>32636</v>
      </c>
      <c r="C37" s="378">
        <v>30610</v>
      </c>
      <c r="D37" s="261">
        <v>35000</v>
      </c>
      <c r="E37" s="378">
        <v>25465</v>
      </c>
    </row>
    <row r="38" spans="1:5" ht="15.75" x14ac:dyDescent="0.25">
      <c r="A38" s="310" t="s">
        <v>604</v>
      </c>
      <c r="B38" s="376">
        <v>21923.03</v>
      </c>
      <c r="C38" s="378">
        <v>25875</v>
      </c>
      <c r="D38" s="261">
        <v>33150</v>
      </c>
      <c r="E38" s="378">
        <v>30983.55</v>
      </c>
    </row>
    <row r="39" spans="1:5" ht="15.75" x14ac:dyDescent="0.25">
      <c r="A39" s="310" t="s">
        <v>425</v>
      </c>
      <c r="B39" s="376">
        <v>1949.12</v>
      </c>
      <c r="C39" s="378">
        <v>4235.59</v>
      </c>
      <c r="D39" s="261">
        <v>6850</v>
      </c>
      <c r="E39" s="378">
        <v>568.11</v>
      </c>
    </row>
    <row r="40" spans="1:5" ht="15.75" x14ac:dyDescent="0.25">
      <c r="A40" s="310" t="s">
        <v>38</v>
      </c>
      <c r="B40" s="378">
        <v>15262.77</v>
      </c>
      <c r="C40" s="378">
        <v>20999.34</v>
      </c>
      <c r="D40" s="261">
        <v>24150</v>
      </c>
      <c r="E40" s="378">
        <v>24149.3</v>
      </c>
    </row>
    <row r="41" spans="1:5" ht="15.75" x14ac:dyDescent="0.25">
      <c r="A41" s="310" t="s">
        <v>39</v>
      </c>
      <c r="B41" s="378">
        <v>3712.94</v>
      </c>
      <c r="C41" s="378">
        <v>3586.48</v>
      </c>
      <c r="D41" s="261">
        <v>4070</v>
      </c>
      <c r="E41" s="378">
        <v>2750.68</v>
      </c>
    </row>
    <row r="42" spans="1:5" ht="15.75" x14ac:dyDescent="0.25">
      <c r="A42" s="316" t="s">
        <v>41</v>
      </c>
      <c r="B42" s="378">
        <v>15264.53</v>
      </c>
      <c r="C42" s="378">
        <v>15353.32</v>
      </c>
      <c r="D42" s="261">
        <v>16000</v>
      </c>
      <c r="E42" s="378">
        <v>15590.24</v>
      </c>
    </row>
    <row r="43" spans="1:5" ht="15.75" x14ac:dyDescent="0.25">
      <c r="A43" s="310" t="s">
        <v>44</v>
      </c>
      <c r="B43" s="376">
        <v>1339.22</v>
      </c>
      <c r="C43" s="378">
        <v>89697.55</v>
      </c>
      <c r="D43" s="261">
        <v>85600</v>
      </c>
      <c r="E43" s="378">
        <v>85591.15</v>
      </c>
    </row>
    <row r="44" spans="1:5" ht="15.75" x14ac:dyDescent="0.25">
      <c r="A44" s="310" t="s">
        <v>45</v>
      </c>
      <c r="B44" s="376">
        <v>0</v>
      </c>
      <c r="C44" s="378">
        <v>26700.5</v>
      </c>
      <c r="D44" s="261">
        <v>82600</v>
      </c>
      <c r="E44" s="378">
        <v>82577.83</v>
      </c>
    </row>
    <row r="45" spans="1:5" ht="15.75" x14ac:dyDescent="0.25">
      <c r="A45" s="310" t="s">
        <v>455</v>
      </c>
      <c r="B45" s="376">
        <v>1516.92</v>
      </c>
      <c r="C45" s="378">
        <v>5643.65</v>
      </c>
      <c r="D45" s="261">
        <v>6580</v>
      </c>
      <c r="E45" s="378">
        <v>6020.11</v>
      </c>
    </row>
    <row r="46" spans="1:5" ht="15.75" x14ac:dyDescent="0.25">
      <c r="A46" s="310" t="s">
        <v>427</v>
      </c>
      <c r="B46" s="376">
        <v>6230</v>
      </c>
      <c r="C46" s="378">
        <v>6650</v>
      </c>
      <c r="D46" s="261">
        <v>7400</v>
      </c>
      <c r="E46" s="378">
        <v>6795</v>
      </c>
    </row>
    <row r="47" spans="1:5" ht="15.75" x14ac:dyDescent="0.25">
      <c r="A47" s="310" t="s">
        <v>51</v>
      </c>
      <c r="B47" s="376">
        <v>0</v>
      </c>
      <c r="C47" s="378">
        <v>0</v>
      </c>
      <c r="D47" s="261">
        <v>12000</v>
      </c>
      <c r="E47" s="378">
        <v>10315.200000000001</v>
      </c>
    </row>
    <row r="48" spans="1:5" ht="15.75" x14ac:dyDescent="0.25">
      <c r="A48" s="310" t="s">
        <v>429</v>
      </c>
      <c r="B48" s="378">
        <v>320888.99</v>
      </c>
      <c r="C48" s="378">
        <v>355660.17</v>
      </c>
      <c r="D48" s="261">
        <v>430000</v>
      </c>
      <c r="E48" s="378">
        <v>420846.2</v>
      </c>
    </row>
    <row r="49" spans="1:5" ht="15.75" x14ac:dyDescent="0.25">
      <c r="A49" s="310" t="s">
        <v>592</v>
      </c>
      <c r="B49" s="378">
        <v>157409.16</v>
      </c>
      <c r="C49" s="378">
        <v>172877.34</v>
      </c>
      <c r="D49" s="261">
        <v>245690</v>
      </c>
      <c r="E49" s="378">
        <v>213279.49</v>
      </c>
    </row>
    <row r="50" spans="1:5" ht="15.75" x14ac:dyDescent="0.25">
      <c r="A50" s="310" t="s">
        <v>434</v>
      </c>
      <c r="B50" s="378">
        <v>5019.8</v>
      </c>
      <c r="C50" s="378">
        <v>5553.6</v>
      </c>
      <c r="D50" s="261">
        <v>8000</v>
      </c>
      <c r="E50" s="378">
        <v>5793.9</v>
      </c>
    </row>
    <row r="51" spans="1:5" s="434" customFormat="1" ht="15.75" x14ac:dyDescent="0.25">
      <c r="A51" s="313" t="s">
        <v>606</v>
      </c>
      <c r="B51" s="378">
        <f>15697.96+12240.28+13794.2+26917.1+12078.2+10870.7+12018.05+31721.5+11990.17+15531+15358.44+15160+23821.9+54754</f>
        <v>271953.5</v>
      </c>
      <c r="C51" s="378">
        <f>13303.5+21382+37309.2+15068.72+17924.36+18517.5+3138.45+12524+21984.63+51032.81+7042.82+29103.9+7605.3+15392+13545.95+57452+46027.88</f>
        <v>388355.01999999996</v>
      </c>
      <c r="D51" s="261">
        <f>6050+15150+21200+58293+6140+56961+1000+10000+25900+15000+14966+19100+36070+19700+18040+16850+65886+40357+14320</f>
        <v>460983</v>
      </c>
      <c r="E51" s="378">
        <f>3645.45+11552.2+20978.46+56149.3+4847.4+46456.72+5986.05+17393+14355.9+13620+18857.1+35211.52+18650+18010+15626.5+62960+38202.94</f>
        <v>402502.54</v>
      </c>
    </row>
    <row r="52" spans="1:5" s="434" customFormat="1" ht="15.75" x14ac:dyDescent="0.25">
      <c r="A52" s="313" t="s">
        <v>460</v>
      </c>
      <c r="B52" s="378">
        <f>33621.43+11420.14+16733.38+41688.32+28529.7+0+11314.31+27403.84+11531.61+27518.64+15088.06+15454.66+0</f>
        <v>240304.09</v>
      </c>
      <c r="C52" s="378">
        <f>15367.64+34649.25+38657.8+16529.12+19734.53+19894.99+29894.57+49020.43+107124.04+80895.05+82877.46</f>
        <v>494644.88</v>
      </c>
      <c r="D52" s="261">
        <f>36000+46900+130000+61780+80030+24100+41621+53060+29060+28820+26380+7249</f>
        <v>565000</v>
      </c>
      <c r="E52" s="378">
        <f>25441.88+35150.94+94609.62+56018.15+84348.77+21724.5+41620.64+51663.1+29058.94+26889.22+26377.2</f>
        <v>492902.96</v>
      </c>
    </row>
    <row r="53" spans="1:5" ht="15.75" x14ac:dyDescent="0.25">
      <c r="A53" s="310" t="s">
        <v>55</v>
      </c>
      <c r="B53" s="377">
        <v>4710</v>
      </c>
      <c r="C53" s="377">
        <v>744</v>
      </c>
      <c r="D53" s="315">
        <v>2000</v>
      </c>
      <c r="E53" s="377">
        <v>778</v>
      </c>
    </row>
    <row r="54" spans="1:5" ht="15.75" x14ac:dyDescent="0.25">
      <c r="A54" s="311" t="s">
        <v>584</v>
      </c>
      <c r="B54" s="371">
        <f t="shared" ref="B54" si="6">SUM(B55:B62)</f>
        <v>281109.15000000002</v>
      </c>
      <c r="C54" s="371">
        <f>SUM(C55:C62)</f>
        <v>215919.86999999997</v>
      </c>
      <c r="D54" s="260">
        <f t="shared" ref="D54:E54" si="7">SUM(D55:D62)</f>
        <v>286283</v>
      </c>
      <c r="E54" s="371">
        <f t="shared" si="7"/>
        <v>254104.39999999997</v>
      </c>
    </row>
    <row r="55" spans="1:5" s="434" customFormat="1" ht="15.75" x14ac:dyDescent="0.25">
      <c r="A55" s="313" t="s">
        <v>433</v>
      </c>
      <c r="B55" s="378">
        <v>139494.38</v>
      </c>
      <c r="C55" s="378">
        <v>127496.61</v>
      </c>
      <c r="D55" s="261">
        <v>117200</v>
      </c>
      <c r="E55" s="378">
        <v>116959.59</v>
      </c>
    </row>
    <row r="56" spans="1:5" s="434" customFormat="1" ht="15.75" x14ac:dyDescent="0.25">
      <c r="A56" s="313" t="s">
        <v>539</v>
      </c>
      <c r="B56" s="378">
        <v>0</v>
      </c>
      <c r="C56" s="378">
        <v>2329.2800000000002</v>
      </c>
      <c r="D56" s="261">
        <v>67100</v>
      </c>
      <c r="E56" s="378">
        <v>67080.070000000007</v>
      </c>
    </row>
    <row r="57" spans="1:5" s="434" customFormat="1" ht="15.75" x14ac:dyDescent="0.25">
      <c r="A57" s="313" t="s">
        <v>426</v>
      </c>
      <c r="B57" s="378">
        <v>41558.080000000002</v>
      </c>
      <c r="C57" s="378">
        <v>12888.35</v>
      </c>
      <c r="D57" s="261">
        <v>10000</v>
      </c>
      <c r="E57" s="378">
        <f>339.4+729.18</f>
        <v>1068.58</v>
      </c>
    </row>
    <row r="58" spans="1:5" s="434" customFormat="1" ht="15.75" x14ac:dyDescent="0.25">
      <c r="A58" s="313" t="s">
        <v>456</v>
      </c>
      <c r="B58" s="378">
        <v>7213.44</v>
      </c>
      <c r="C58" s="378">
        <v>5054.74</v>
      </c>
      <c r="D58" s="261">
        <v>10600</v>
      </c>
      <c r="E58" s="378">
        <v>6819.33</v>
      </c>
    </row>
    <row r="59" spans="1:5" s="434" customFormat="1" ht="15.75" x14ac:dyDescent="0.25">
      <c r="A59" s="313" t="s">
        <v>58</v>
      </c>
      <c r="B59" s="378">
        <v>2884.44</v>
      </c>
      <c r="C59" s="378">
        <v>2204.62</v>
      </c>
      <c r="D59" s="261">
        <v>10000</v>
      </c>
      <c r="E59" s="378">
        <v>6371.37</v>
      </c>
    </row>
    <row r="60" spans="1:5" s="434" customFormat="1" ht="15.75" x14ac:dyDescent="0.25">
      <c r="A60" s="313" t="s">
        <v>601</v>
      </c>
      <c r="B60" s="378">
        <v>36207.129999999997</v>
      </c>
      <c r="C60" s="378">
        <v>27348</v>
      </c>
      <c r="D60" s="261">
        <v>30000</v>
      </c>
      <c r="E60" s="378">
        <v>22853.89</v>
      </c>
    </row>
    <row r="61" spans="1:5" s="434" customFormat="1" ht="15.75" x14ac:dyDescent="0.25">
      <c r="A61" s="313" t="s">
        <v>593</v>
      </c>
      <c r="B61" s="378">
        <f>9876.93+804.74+1365.35+9518.65+742.19+1598.64+1693.1+6429.69+3746.85+7309.85+3701.85+5613.65+0+107.45</f>
        <v>52508.939999999988</v>
      </c>
      <c r="C61" s="378">
        <f>1842.65+4232.59+4514.05+66.96+1946.55+2601.3+47.57+2467.85+780.06+0+2.22+1973.7+710+4046.54+11931.6+74.36+936.52+116.34</f>
        <v>38290.859999999993</v>
      </c>
      <c r="D61" s="261">
        <f>35+1500+545+1524+15411+1700+2000+234+4700+4200+30+2600+2300+60+2450+1594</f>
        <v>40883</v>
      </c>
      <c r="E61" s="378">
        <f>3.89+974.89+544.7+1523.6+11398.15+652.71+1764.8+233.13+3416.28+4137.5+27.21+2278.5+2047.75+57.47+2069.55+1593.8</f>
        <v>32723.929999999997</v>
      </c>
    </row>
    <row r="62" spans="1:5" ht="15.75" x14ac:dyDescent="0.25">
      <c r="A62" s="310" t="s">
        <v>594</v>
      </c>
      <c r="B62" s="378">
        <f>296.79+945.95</f>
        <v>1242.74</v>
      </c>
      <c r="C62" s="378">
        <v>307.41000000000003</v>
      </c>
      <c r="D62" s="261">
        <v>500</v>
      </c>
      <c r="E62" s="378">
        <v>227.64</v>
      </c>
    </row>
    <row r="63" spans="1:5" s="340" customFormat="1" ht="15.75" x14ac:dyDescent="0.25">
      <c r="A63" s="338" t="s">
        <v>66</v>
      </c>
      <c r="B63" s="379">
        <f>SUM(B64:B105)</f>
        <v>6922444.6399999997</v>
      </c>
      <c r="C63" s="379">
        <f>SUM(C64:C105)</f>
        <v>7286657.3899999987</v>
      </c>
      <c r="D63" s="339">
        <f>SUM(D64:D105)</f>
        <v>10179888</v>
      </c>
      <c r="E63" s="379">
        <f>SUM(E64:E105)</f>
        <v>10150155.83</v>
      </c>
    </row>
    <row r="64" spans="1:5" s="434" customFormat="1" ht="15.75" x14ac:dyDescent="0.25">
      <c r="A64" s="313" t="s">
        <v>68</v>
      </c>
      <c r="B64" s="378">
        <v>33630.410000000003</v>
      </c>
      <c r="C64" s="378">
        <v>28466</v>
      </c>
      <c r="D64" s="261">
        <v>38700</v>
      </c>
      <c r="E64" s="378">
        <v>38657.5</v>
      </c>
    </row>
    <row r="65" spans="1:5" s="434" customFormat="1" ht="15.75" x14ac:dyDescent="0.25">
      <c r="A65" s="313" t="s">
        <v>534</v>
      </c>
      <c r="B65" s="378">
        <v>1650</v>
      </c>
      <c r="C65" s="378">
        <v>0</v>
      </c>
      <c r="D65" s="261">
        <v>2800</v>
      </c>
      <c r="E65" s="378">
        <v>2600</v>
      </c>
    </row>
    <row r="66" spans="1:5" s="434" customFormat="1" ht="15.75" x14ac:dyDescent="0.25">
      <c r="A66" s="313" t="s">
        <v>449</v>
      </c>
      <c r="B66" s="378">
        <v>1400</v>
      </c>
      <c r="C66" s="378">
        <v>1400</v>
      </c>
      <c r="D66" s="261">
        <v>1400</v>
      </c>
      <c r="E66" s="378">
        <v>1400</v>
      </c>
    </row>
    <row r="67" spans="1:5" s="434" customFormat="1" ht="15.75" x14ac:dyDescent="0.25">
      <c r="A67" s="313" t="s">
        <v>663</v>
      </c>
      <c r="B67" s="378">
        <v>0</v>
      </c>
      <c r="C67" s="378">
        <v>0</v>
      </c>
      <c r="D67" s="261">
        <v>3000</v>
      </c>
      <c r="E67" s="378">
        <v>3000</v>
      </c>
    </row>
    <row r="68" spans="1:5" s="434" customFormat="1" ht="15.75" x14ac:dyDescent="0.25">
      <c r="A68" s="313" t="s">
        <v>664</v>
      </c>
      <c r="B68" s="378">
        <v>0</v>
      </c>
      <c r="C68" s="378">
        <v>0</v>
      </c>
      <c r="D68" s="261">
        <v>1310</v>
      </c>
      <c r="E68" s="378">
        <v>1310</v>
      </c>
    </row>
    <row r="69" spans="1:5" s="434" customFormat="1" ht="15.75" x14ac:dyDescent="0.25">
      <c r="A69" s="313" t="s">
        <v>665</v>
      </c>
      <c r="B69" s="378">
        <v>0</v>
      </c>
      <c r="C69" s="378">
        <v>0</v>
      </c>
      <c r="D69" s="261">
        <v>3318</v>
      </c>
      <c r="E69" s="378">
        <v>3318</v>
      </c>
    </row>
    <row r="70" spans="1:5" s="434" customFormat="1" ht="15.75" x14ac:dyDescent="0.25">
      <c r="A70" s="313" t="s">
        <v>448</v>
      </c>
      <c r="B70" s="378">
        <v>1300</v>
      </c>
      <c r="C70" s="378">
        <v>1914.05</v>
      </c>
      <c r="D70" s="261">
        <v>600</v>
      </c>
      <c r="E70" s="378">
        <v>600</v>
      </c>
    </row>
    <row r="71" spans="1:5" s="434" customFormat="1" ht="15.75" x14ac:dyDescent="0.25">
      <c r="A71" s="313" t="s">
        <v>602</v>
      </c>
      <c r="B71" s="378">
        <v>0</v>
      </c>
      <c r="C71" s="378">
        <v>232</v>
      </c>
      <c r="D71" s="261">
        <v>0</v>
      </c>
      <c r="E71" s="378">
        <v>15000</v>
      </c>
    </row>
    <row r="72" spans="1:5" s="434" customFormat="1" ht="15.75" x14ac:dyDescent="0.25">
      <c r="A72" s="453" t="s">
        <v>435</v>
      </c>
      <c r="B72" s="378">
        <v>42250.28</v>
      </c>
      <c r="C72" s="378">
        <v>46639.4</v>
      </c>
      <c r="D72" s="261">
        <v>50300</v>
      </c>
      <c r="E72" s="378">
        <v>50196.89</v>
      </c>
    </row>
    <row r="73" spans="1:5" s="434" customFormat="1" ht="15.75" x14ac:dyDescent="0.25">
      <c r="A73" s="453" t="s">
        <v>579</v>
      </c>
      <c r="B73" s="378">
        <v>24677.46</v>
      </c>
      <c r="C73" s="378">
        <v>0</v>
      </c>
      <c r="D73" s="261">
        <v>0</v>
      </c>
      <c r="E73" s="378">
        <v>0</v>
      </c>
    </row>
    <row r="74" spans="1:5" s="434" customFormat="1" ht="15.75" x14ac:dyDescent="0.25">
      <c r="A74" s="453" t="s">
        <v>543</v>
      </c>
      <c r="B74" s="378">
        <v>1699.2</v>
      </c>
      <c r="C74" s="378">
        <v>0</v>
      </c>
      <c r="D74" s="261">
        <v>9500</v>
      </c>
      <c r="E74" s="378">
        <v>0</v>
      </c>
    </row>
    <row r="75" spans="1:5" s="434" customFormat="1" ht="15.75" x14ac:dyDescent="0.25">
      <c r="A75" s="453" t="s">
        <v>632</v>
      </c>
      <c r="B75" s="378">
        <v>0</v>
      </c>
      <c r="C75" s="378">
        <v>0</v>
      </c>
      <c r="D75" s="261">
        <v>9875</v>
      </c>
      <c r="E75" s="378">
        <v>9869.25</v>
      </c>
    </row>
    <row r="76" spans="1:5" s="434" customFormat="1" ht="15.75" x14ac:dyDescent="0.25">
      <c r="A76" s="316" t="s">
        <v>647</v>
      </c>
      <c r="B76" s="378">
        <v>0</v>
      </c>
      <c r="C76" s="378">
        <v>0</v>
      </c>
      <c r="D76" s="261">
        <v>14898</v>
      </c>
      <c r="E76" s="378">
        <v>7969.88</v>
      </c>
    </row>
    <row r="77" spans="1:5" s="434" customFormat="1" ht="15.75" x14ac:dyDescent="0.25">
      <c r="A77" s="316" t="s">
        <v>648</v>
      </c>
      <c r="B77" s="378">
        <v>0</v>
      </c>
      <c r="C77" s="378">
        <v>0</v>
      </c>
      <c r="D77" s="261">
        <v>15802</v>
      </c>
      <c r="E77" s="378">
        <v>15800.4</v>
      </c>
    </row>
    <row r="78" spans="1:5" s="434" customFormat="1" ht="15.75" x14ac:dyDescent="0.25">
      <c r="A78" s="316" t="s">
        <v>649</v>
      </c>
      <c r="B78" s="378">
        <v>0</v>
      </c>
      <c r="C78" s="378">
        <v>0</v>
      </c>
      <c r="D78" s="261">
        <v>640</v>
      </c>
      <c r="E78" s="378">
        <v>0</v>
      </c>
    </row>
    <row r="79" spans="1:5" s="434" customFormat="1" ht="15.75" x14ac:dyDescent="0.25">
      <c r="A79" s="453" t="s">
        <v>674</v>
      </c>
      <c r="B79" s="378">
        <v>0</v>
      </c>
      <c r="C79" s="378">
        <v>0</v>
      </c>
      <c r="D79" s="261">
        <v>268700</v>
      </c>
      <c r="E79" s="378">
        <v>267444.82</v>
      </c>
    </row>
    <row r="80" spans="1:5" s="434" customFormat="1" ht="15.75" x14ac:dyDescent="0.25">
      <c r="A80" s="453" t="s">
        <v>666</v>
      </c>
      <c r="B80" s="378">
        <v>0</v>
      </c>
      <c r="C80" s="378">
        <v>0</v>
      </c>
      <c r="D80" s="261">
        <v>397800</v>
      </c>
      <c r="E80" s="378">
        <v>397800</v>
      </c>
    </row>
    <row r="81" spans="1:5" s="434" customFormat="1" ht="15.75" x14ac:dyDescent="0.25">
      <c r="A81" s="313" t="s">
        <v>560</v>
      </c>
      <c r="B81" s="378">
        <v>5238.99</v>
      </c>
      <c r="C81" s="378">
        <v>4799.66</v>
      </c>
      <c r="D81" s="261">
        <v>8000</v>
      </c>
      <c r="E81" s="378">
        <v>5680</v>
      </c>
    </row>
    <row r="82" spans="1:5" s="434" customFormat="1" ht="15.75" x14ac:dyDescent="0.25">
      <c r="A82" s="313" t="s">
        <v>561</v>
      </c>
      <c r="B82" s="378">
        <v>250254.62</v>
      </c>
      <c r="C82" s="378">
        <v>315655.39</v>
      </c>
      <c r="D82" s="261">
        <v>400930</v>
      </c>
      <c r="E82" s="378">
        <v>398480.9</v>
      </c>
    </row>
    <row r="83" spans="1:5" s="434" customFormat="1" ht="15.75" x14ac:dyDescent="0.25">
      <c r="A83" s="313" t="s">
        <v>562</v>
      </c>
      <c r="B83" s="378">
        <f>480840+42877.36</f>
        <v>523717.36</v>
      </c>
      <c r="C83" s="378">
        <v>560326.67000000004</v>
      </c>
      <c r="D83" s="261">
        <v>614310</v>
      </c>
      <c r="E83" s="378">
        <v>614309.16</v>
      </c>
    </row>
    <row r="84" spans="1:5" s="434" customFormat="1" ht="15.75" x14ac:dyDescent="0.25">
      <c r="A84" s="313" t="s">
        <v>563</v>
      </c>
      <c r="B84" s="378">
        <v>19419</v>
      </c>
      <c r="C84" s="378">
        <v>21756.75</v>
      </c>
      <c r="D84" s="261">
        <v>19000</v>
      </c>
      <c r="E84" s="378">
        <v>18417.25</v>
      </c>
    </row>
    <row r="85" spans="1:5" s="434" customFormat="1" ht="15.75" x14ac:dyDescent="0.25">
      <c r="A85" s="453" t="s">
        <v>564</v>
      </c>
      <c r="B85" s="378">
        <v>4740644</v>
      </c>
      <c r="C85" s="378">
        <v>4868285</v>
      </c>
      <c r="D85" s="261">
        <v>5700000</v>
      </c>
      <c r="E85" s="378">
        <v>5758845</v>
      </c>
    </row>
    <row r="86" spans="1:5" s="434" customFormat="1" ht="15.75" x14ac:dyDescent="0.25">
      <c r="A86" s="453" t="s">
        <v>565</v>
      </c>
      <c r="B86" s="378">
        <v>28104.61</v>
      </c>
      <c r="C86" s="378">
        <v>27817.01</v>
      </c>
      <c r="D86" s="261">
        <v>32000</v>
      </c>
      <c r="E86" s="378">
        <v>31577.69</v>
      </c>
    </row>
    <row r="87" spans="1:5" s="434" customFormat="1" ht="15.75" x14ac:dyDescent="0.25">
      <c r="A87" s="453" t="s">
        <v>566</v>
      </c>
      <c r="B87" s="378">
        <v>11035.55</v>
      </c>
      <c r="C87" s="378">
        <v>10980.13</v>
      </c>
      <c r="D87" s="261">
        <v>11600</v>
      </c>
      <c r="E87" s="378">
        <v>11582.76</v>
      </c>
    </row>
    <row r="88" spans="1:5" s="434" customFormat="1" ht="15.75" x14ac:dyDescent="0.25">
      <c r="A88" s="453" t="s">
        <v>567</v>
      </c>
      <c r="B88" s="378">
        <v>936.96</v>
      </c>
      <c r="C88" s="378">
        <v>927.81</v>
      </c>
      <c r="D88" s="261">
        <v>1580</v>
      </c>
      <c r="E88" s="378">
        <v>1574.17</v>
      </c>
    </row>
    <row r="89" spans="1:5" s="434" customFormat="1" ht="15.75" x14ac:dyDescent="0.25">
      <c r="A89" s="453" t="s">
        <v>568</v>
      </c>
      <c r="B89" s="378">
        <v>2125.52</v>
      </c>
      <c r="C89" s="378">
        <v>2150.89</v>
      </c>
      <c r="D89" s="261">
        <v>2305</v>
      </c>
      <c r="E89" s="378">
        <v>2303.87</v>
      </c>
    </row>
    <row r="90" spans="1:5" s="434" customFormat="1" ht="15.75" x14ac:dyDescent="0.25">
      <c r="A90" s="453" t="s">
        <v>569</v>
      </c>
      <c r="B90" s="378">
        <f>155.6+7157.37</f>
        <v>7312.97</v>
      </c>
      <c r="C90" s="378">
        <f>296.4+7087.41</f>
        <v>7383.8099999999995</v>
      </c>
      <c r="D90" s="261">
        <v>7500</v>
      </c>
      <c r="E90" s="378">
        <f>178+6870.6</f>
        <v>7048.6</v>
      </c>
    </row>
    <row r="91" spans="1:5" s="434" customFormat="1" ht="15.75" x14ac:dyDescent="0.25">
      <c r="A91" s="453" t="s">
        <v>570</v>
      </c>
      <c r="B91" s="378">
        <v>36976</v>
      </c>
      <c r="C91" s="378">
        <v>37964</v>
      </c>
      <c r="D91" s="261">
        <v>41000</v>
      </c>
      <c r="E91" s="378">
        <v>40734</v>
      </c>
    </row>
    <row r="92" spans="1:5" s="434" customFormat="1" ht="15.75" x14ac:dyDescent="0.25">
      <c r="A92" s="453" t="s">
        <v>571</v>
      </c>
      <c r="B92" s="378">
        <v>720181</v>
      </c>
      <c r="C92" s="378">
        <v>663244.23</v>
      </c>
      <c r="D92" s="261">
        <v>1217000</v>
      </c>
      <c r="E92" s="378">
        <v>1220697.69</v>
      </c>
    </row>
    <row r="93" spans="1:5" s="434" customFormat="1" ht="15.75" x14ac:dyDescent="0.25">
      <c r="A93" s="453" t="s">
        <v>595</v>
      </c>
      <c r="B93" s="378">
        <f>149460.89+8296.52+28397.6+0+10123.48+6364.09+0+0+0+0+0+0+0+91631.46</f>
        <v>294274.04000000004</v>
      </c>
      <c r="C93" s="378">
        <f>1300+1500+12175.03+1700+277.32+4870+1500+550+84532.29+36236.85+55973.85+76622.55+46577.14</f>
        <v>323815.03000000003</v>
      </c>
      <c r="D93" s="261">
        <f>2400+40000+11000+2115+82000+1600+145000+98300+300+5500+3500+310+61500+2520+6000+16865</f>
        <v>478910</v>
      </c>
      <c r="E93" s="378">
        <f>2400+36572.69+9636+2115+84338.49+1599.6+112364.69+89544.33+300+4818+2706.14+310+58430.05+2519.97+6000</f>
        <v>413654.95999999996</v>
      </c>
    </row>
    <row r="94" spans="1:5" s="434" customFormat="1" ht="15.75" x14ac:dyDescent="0.25">
      <c r="A94" s="453" t="s">
        <v>583</v>
      </c>
      <c r="B94" s="378">
        <v>0</v>
      </c>
      <c r="C94" s="378">
        <v>4200</v>
      </c>
      <c r="D94" s="261">
        <v>4000</v>
      </c>
      <c r="E94" s="378">
        <v>0</v>
      </c>
    </row>
    <row r="95" spans="1:5" s="434" customFormat="1" ht="15.75" x14ac:dyDescent="0.25">
      <c r="A95" s="453" t="s">
        <v>627</v>
      </c>
      <c r="B95" s="378">
        <v>0</v>
      </c>
      <c r="C95" s="378">
        <v>204287.65</v>
      </c>
      <c r="D95" s="261">
        <v>630000</v>
      </c>
      <c r="E95" s="378">
        <v>630708.37</v>
      </c>
    </row>
    <row r="96" spans="1:5" s="434" customFormat="1" ht="15.75" x14ac:dyDescent="0.25">
      <c r="A96" s="453" t="s">
        <v>588</v>
      </c>
      <c r="B96" s="378">
        <v>672.6</v>
      </c>
      <c r="C96" s="378">
        <v>228</v>
      </c>
      <c r="D96" s="261">
        <v>0</v>
      </c>
      <c r="E96" s="378">
        <v>0</v>
      </c>
    </row>
    <row r="97" spans="1:5" s="434" customFormat="1" ht="15.75" x14ac:dyDescent="0.25">
      <c r="A97" s="453" t="s">
        <v>599</v>
      </c>
      <c r="B97" s="378">
        <v>7500</v>
      </c>
      <c r="C97" s="378">
        <v>0</v>
      </c>
      <c r="D97" s="261">
        <v>0</v>
      </c>
      <c r="E97" s="378">
        <v>0</v>
      </c>
    </row>
    <row r="98" spans="1:5" s="434" customFormat="1" ht="15.75" x14ac:dyDescent="0.25">
      <c r="A98" s="453" t="s">
        <v>572</v>
      </c>
      <c r="B98" s="378">
        <v>0</v>
      </c>
      <c r="C98" s="378">
        <v>0</v>
      </c>
      <c r="D98" s="261">
        <v>3400</v>
      </c>
      <c r="E98" s="378">
        <v>684</v>
      </c>
    </row>
    <row r="99" spans="1:5" s="434" customFormat="1" ht="15" customHeight="1" x14ac:dyDescent="0.25">
      <c r="A99" s="453" t="s">
        <v>573</v>
      </c>
      <c r="B99" s="378">
        <v>0</v>
      </c>
      <c r="C99" s="378">
        <v>21100</v>
      </c>
      <c r="D99" s="261">
        <v>41000</v>
      </c>
      <c r="E99" s="378">
        <v>40158.82</v>
      </c>
    </row>
    <row r="100" spans="1:5" s="434" customFormat="1" ht="15" customHeight="1" x14ac:dyDescent="0.25">
      <c r="A100" s="453" t="s">
        <v>574</v>
      </c>
      <c r="B100" s="378">
        <v>0</v>
      </c>
      <c r="C100" s="378">
        <v>0</v>
      </c>
      <c r="D100" s="261">
        <v>10000</v>
      </c>
      <c r="E100" s="378">
        <v>9194</v>
      </c>
    </row>
    <row r="101" spans="1:5" s="434" customFormat="1" ht="15.75" x14ac:dyDescent="0.25">
      <c r="A101" s="453" t="s">
        <v>635</v>
      </c>
      <c r="B101" s="378">
        <v>9296</v>
      </c>
      <c r="C101" s="378">
        <v>8200</v>
      </c>
      <c r="D101" s="261">
        <v>0</v>
      </c>
      <c r="E101" s="378">
        <v>0</v>
      </c>
    </row>
    <row r="102" spans="1:5" s="434" customFormat="1" ht="15.75" x14ac:dyDescent="0.25">
      <c r="A102" s="453" t="s">
        <v>597</v>
      </c>
      <c r="B102" s="378">
        <v>27102.42</v>
      </c>
      <c r="C102" s="378">
        <v>41619.269999999997</v>
      </c>
      <c r="D102" s="261">
        <v>24700</v>
      </c>
      <c r="E102" s="378">
        <v>20783.88</v>
      </c>
    </row>
    <row r="103" spans="1:5" s="434" customFormat="1" ht="15.75" x14ac:dyDescent="0.25">
      <c r="A103" s="453" t="s">
        <v>580</v>
      </c>
      <c r="B103" s="378">
        <v>91530</v>
      </c>
      <c r="C103" s="378">
        <v>1337</v>
      </c>
      <c r="D103" s="261">
        <v>5000</v>
      </c>
      <c r="E103" s="378">
        <v>0</v>
      </c>
    </row>
    <row r="104" spans="1:5" s="434" customFormat="1" ht="15.75" x14ac:dyDescent="0.25">
      <c r="A104" s="453" t="s">
        <v>575</v>
      </c>
      <c r="B104" s="378">
        <v>36195.65</v>
      </c>
      <c r="C104" s="378">
        <v>77447.64</v>
      </c>
      <c r="D104" s="261">
        <v>102500</v>
      </c>
      <c r="E104" s="378">
        <v>102252.97</v>
      </c>
    </row>
    <row r="105" spans="1:5" s="434" customFormat="1" ht="16.5" thickBot="1" x14ac:dyDescent="0.3">
      <c r="A105" s="453" t="s">
        <v>576</v>
      </c>
      <c r="B105" s="378">
        <v>3320</v>
      </c>
      <c r="C105" s="378">
        <v>4480</v>
      </c>
      <c r="D105" s="261">
        <v>6510</v>
      </c>
      <c r="E105" s="378">
        <v>6501</v>
      </c>
    </row>
    <row r="106" spans="1:5" ht="18.75" thickBot="1" x14ac:dyDescent="0.3">
      <c r="A106" s="317" t="s">
        <v>407</v>
      </c>
      <c r="B106" s="380">
        <f t="shared" ref="B106:E106" si="8">B107+B111</f>
        <v>844958.95</v>
      </c>
      <c r="C106" s="380">
        <f t="shared" si="8"/>
        <v>536086.52</v>
      </c>
      <c r="D106" s="318">
        <f t="shared" si="8"/>
        <v>5687087</v>
      </c>
      <c r="E106" s="380">
        <f t="shared" si="8"/>
        <v>5741420.1499999994</v>
      </c>
    </row>
    <row r="107" spans="1:5" ht="18.75" thickBot="1" x14ac:dyDescent="0.3">
      <c r="A107" s="333" t="s">
        <v>111</v>
      </c>
      <c r="B107" s="381">
        <f t="shared" ref="B107:E107" si="9">SUM(B108:B110)</f>
        <v>150794.21</v>
      </c>
      <c r="C107" s="381">
        <f t="shared" si="9"/>
        <v>99475.790000000008</v>
      </c>
      <c r="D107" s="334">
        <f t="shared" si="9"/>
        <v>10000</v>
      </c>
      <c r="E107" s="381">
        <f t="shared" si="9"/>
        <v>4641</v>
      </c>
    </row>
    <row r="108" spans="1:5" ht="15.75" x14ac:dyDescent="0.25">
      <c r="A108" s="320" t="s">
        <v>544</v>
      </c>
      <c r="B108" s="382">
        <v>52172.73</v>
      </c>
      <c r="C108" s="382">
        <v>56122.93</v>
      </c>
      <c r="D108" s="337">
        <v>0</v>
      </c>
      <c r="E108" s="382">
        <v>0</v>
      </c>
    </row>
    <row r="109" spans="1:5" ht="15.75" x14ac:dyDescent="0.25">
      <c r="A109" s="320" t="s">
        <v>114</v>
      </c>
      <c r="B109" s="382">
        <v>1</v>
      </c>
      <c r="C109" s="382">
        <v>0</v>
      </c>
      <c r="D109" s="337">
        <v>0</v>
      </c>
      <c r="E109" s="382">
        <v>0</v>
      </c>
    </row>
    <row r="110" spans="1:5" ht="16.5" thickBot="1" x14ac:dyDescent="0.3">
      <c r="A110" s="335" t="s">
        <v>115</v>
      </c>
      <c r="B110" s="383">
        <v>98620.479999999996</v>
      </c>
      <c r="C110" s="383">
        <v>43352.86</v>
      </c>
      <c r="D110" s="336">
        <v>10000</v>
      </c>
      <c r="E110" s="383">
        <v>4641</v>
      </c>
    </row>
    <row r="111" spans="1:5" ht="18.75" thickBot="1" x14ac:dyDescent="0.3">
      <c r="A111" s="321" t="s">
        <v>116</v>
      </c>
      <c r="B111" s="384">
        <f>SUM(B112:B125)</f>
        <v>694164.74</v>
      </c>
      <c r="C111" s="384">
        <f>SUM(C112:C125)</f>
        <v>436610.73</v>
      </c>
      <c r="D111" s="322">
        <f>SUM(D112:D125)</f>
        <v>5677087</v>
      </c>
      <c r="E111" s="384">
        <f>SUM(E112:E125)</f>
        <v>5736779.1499999994</v>
      </c>
    </row>
    <row r="112" spans="1:5" s="434" customFormat="1" ht="15.75" x14ac:dyDescent="0.25">
      <c r="A112" s="313" t="s">
        <v>589</v>
      </c>
      <c r="B112" s="378">
        <v>170062.8</v>
      </c>
      <c r="C112" s="378">
        <v>61740.12</v>
      </c>
      <c r="D112" s="261">
        <v>615000</v>
      </c>
      <c r="E112" s="378">
        <v>470179.69</v>
      </c>
    </row>
    <row r="113" spans="1:5" s="434" customFormat="1" ht="15.75" x14ac:dyDescent="0.25">
      <c r="A113" s="313" t="s">
        <v>558</v>
      </c>
      <c r="B113" s="378">
        <v>413301.94</v>
      </c>
      <c r="C113" s="378">
        <v>361402.61</v>
      </c>
      <c r="D113" s="261">
        <v>0</v>
      </c>
      <c r="E113" s="378">
        <v>0</v>
      </c>
    </row>
    <row r="114" spans="1:5" s="434" customFormat="1" ht="15.75" x14ac:dyDescent="0.25">
      <c r="A114" s="313" t="s">
        <v>590</v>
      </c>
      <c r="B114" s="378">
        <v>33300</v>
      </c>
      <c r="C114" s="378">
        <v>3700</v>
      </c>
      <c r="D114" s="261">
        <v>0</v>
      </c>
      <c r="E114" s="378">
        <v>0</v>
      </c>
    </row>
    <row r="115" spans="1:5" s="434" customFormat="1" ht="15.75" x14ac:dyDescent="0.25">
      <c r="A115" s="313" t="s">
        <v>603</v>
      </c>
      <c r="B115" s="378">
        <v>33000</v>
      </c>
      <c r="C115" s="378">
        <v>0</v>
      </c>
      <c r="D115" s="261">
        <v>60000</v>
      </c>
      <c r="E115" s="378">
        <v>60000</v>
      </c>
    </row>
    <row r="116" spans="1:5" s="434" customFormat="1" ht="15.75" x14ac:dyDescent="0.25">
      <c r="A116" s="313" t="s">
        <v>650</v>
      </c>
      <c r="B116" s="378">
        <v>0</v>
      </c>
      <c r="C116" s="378">
        <v>0</v>
      </c>
      <c r="D116" s="261">
        <v>4086515</v>
      </c>
      <c r="E116" s="378">
        <v>4086509.51</v>
      </c>
    </row>
    <row r="117" spans="1:5" s="434" customFormat="1" ht="15.75" x14ac:dyDescent="0.25">
      <c r="A117" s="313" t="s">
        <v>628</v>
      </c>
      <c r="B117" s="378">
        <v>0</v>
      </c>
      <c r="C117" s="378">
        <v>0</v>
      </c>
      <c r="D117" s="261">
        <v>131850</v>
      </c>
      <c r="E117" s="378">
        <v>131818.20000000001</v>
      </c>
    </row>
    <row r="118" spans="1:5" s="434" customFormat="1" ht="15.75" x14ac:dyDescent="0.25">
      <c r="A118" s="313" t="s">
        <v>618</v>
      </c>
      <c r="B118" s="378">
        <v>0</v>
      </c>
      <c r="C118" s="378">
        <v>0</v>
      </c>
      <c r="D118" s="261">
        <v>347040</v>
      </c>
      <c r="E118" s="378">
        <v>346201.16</v>
      </c>
    </row>
    <row r="119" spans="1:5" s="434" customFormat="1" ht="15.75" x14ac:dyDescent="0.25">
      <c r="A119" s="313" t="s">
        <v>675</v>
      </c>
      <c r="B119" s="378">
        <v>0</v>
      </c>
      <c r="C119" s="378">
        <v>0</v>
      </c>
      <c r="D119" s="261">
        <v>77400</v>
      </c>
      <c r="E119" s="378">
        <v>77324.649999999994</v>
      </c>
    </row>
    <row r="120" spans="1:5" s="434" customFormat="1" ht="15.75" x14ac:dyDescent="0.25">
      <c r="A120" s="313" t="s">
        <v>676</v>
      </c>
      <c r="B120" s="378">
        <v>0</v>
      </c>
      <c r="C120" s="378">
        <v>0</v>
      </c>
      <c r="D120" s="261">
        <v>334500</v>
      </c>
      <c r="E120" s="378">
        <v>334411.3</v>
      </c>
    </row>
    <row r="121" spans="1:5" s="434" customFormat="1" ht="15.75" x14ac:dyDescent="0.25">
      <c r="A121" s="313" t="s">
        <v>680</v>
      </c>
      <c r="B121" s="378">
        <v>0</v>
      </c>
      <c r="C121" s="378">
        <v>0</v>
      </c>
      <c r="D121" s="261">
        <v>0</v>
      </c>
      <c r="E121" s="378">
        <v>205555.51</v>
      </c>
    </row>
    <row r="122" spans="1:5" s="434" customFormat="1" ht="15.75" x14ac:dyDescent="0.25">
      <c r="A122" s="313" t="s">
        <v>667</v>
      </c>
      <c r="B122" s="378">
        <v>0</v>
      </c>
      <c r="C122" s="378">
        <v>0</v>
      </c>
      <c r="D122" s="261">
        <v>11000</v>
      </c>
      <c r="E122" s="378">
        <v>11000</v>
      </c>
    </row>
    <row r="123" spans="1:5" s="434" customFormat="1" ht="15.75" x14ac:dyDescent="0.25">
      <c r="A123" s="313" t="s">
        <v>619</v>
      </c>
      <c r="B123" s="378">
        <v>0</v>
      </c>
      <c r="C123" s="378">
        <v>0</v>
      </c>
      <c r="D123" s="261">
        <v>9900</v>
      </c>
      <c r="E123" s="378">
        <v>9897.1299999999992</v>
      </c>
    </row>
    <row r="124" spans="1:5" s="434" customFormat="1" ht="15.75" x14ac:dyDescent="0.25">
      <c r="A124" s="313" t="s">
        <v>634</v>
      </c>
      <c r="B124" s="378">
        <v>10000</v>
      </c>
      <c r="C124" s="378">
        <v>9768</v>
      </c>
      <c r="D124" s="261">
        <v>0</v>
      </c>
      <c r="E124" s="378">
        <v>0</v>
      </c>
    </row>
    <row r="125" spans="1:5" s="434" customFormat="1" ht="16.5" thickBot="1" x14ac:dyDescent="0.3">
      <c r="A125" s="313" t="s">
        <v>600</v>
      </c>
      <c r="B125" s="378">
        <v>34500</v>
      </c>
      <c r="C125" s="378">
        <v>0</v>
      </c>
      <c r="D125" s="261">
        <v>3882</v>
      </c>
      <c r="E125" s="378">
        <v>3882</v>
      </c>
    </row>
    <row r="126" spans="1:5" ht="18.75" thickBot="1" x14ac:dyDescent="0.3">
      <c r="A126" s="252" t="s">
        <v>398</v>
      </c>
      <c r="B126" s="369">
        <f>SUM(B127:B134)</f>
        <v>2210581.17</v>
      </c>
      <c r="C126" s="369">
        <f>SUM(C127:C134)</f>
        <v>4281692.7700000005</v>
      </c>
      <c r="D126" s="306">
        <f>SUM(D127:D134)</f>
        <v>8118017</v>
      </c>
      <c r="E126" s="369">
        <f>SUM(E127:E134)</f>
        <v>5969418.21</v>
      </c>
    </row>
    <row r="127" spans="1:5" s="434" customFormat="1" ht="15.75" x14ac:dyDescent="0.25">
      <c r="A127" s="313" t="s">
        <v>457</v>
      </c>
      <c r="B127" s="378">
        <v>758028.73</v>
      </c>
      <c r="C127" s="378">
        <v>1894549.14</v>
      </c>
      <c r="D127" s="261">
        <v>492630</v>
      </c>
      <c r="E127" s="378">
        <v>492468.68</v>
      </c>
    </row>
    <row r="128" spans="1:5" s="434" customFormat="1" ht="15.75" x14ac:dyDescent="0.25">
      <c r="A128" s="313" t="s">
        <v>537</v>
      </c>
      <c r="B128" s="378">
        <v>0</v>
      </c>
      <c r="C128" s="378">
        <v>0</v>
      </c>
      <c r="D128" s="261">
        <v>60000</v>
      </c>
      <c r="E128" s="378">
        <v>0</v>
      </c>
    </row>
    <row r="129" spans="1:5" s="434" customFormat="1" ht="15.75" x14ac:dyDescent="0.25">
      <c r="A129" s="313" t="s">
        <v>458</v>
      </c>
      <c r="B129" s="378">
        <f>56758.43+8554.99+204534.53+22878.49+3682.33</f>
        <v>296408.77</v>
      </c>
      <c r="C129" s="378">
        <f>45573.49+1075000+400338.47+1567.34+184.46+1650+144553.35+25509.45</f>
        <v>1694376.56</v>
      </c>
      <c r="D129" s="261">
        <v>285102</v>
      </c>
      <c r="E129" s="378">
        <f>234653.09+43175.15</f>
        <v>277828.24</v>
      </c>
    </row>
    <row r="130" spans="1:5" s="434" customFormat="1" ht="15.75" x14ac:dyDescent="0.25">
      <c r="A130" s="313" t="s">
        <v>535</v>
      </c>
      <c r="B130" s="378">
        <v>12157.19</v>
      </c>
      <c r="C130" s="378">
        <v>15158.98</v>
      </c>
      <c r="D130" s="261">
        <v>0</v>
      </c>
      <c r="E130" s="378">
        <v>5115.96</v>
      </c>
    </row>
    <row r="131" spans="1:5" s="434" customFormat="1" ht="15.75" x14ac:dyDescent="0.25">
      <c r="A131" s="313" t="s">
        <v>623</v>
      </c>
      <c r="B131" s="378">
        <v>0</v>
      </c>
      <c r="C131" s="378">
        <v>13204</v>
      </c>
      <c r="D131" s="261">
        <v>0</v>
      </c>
      <c r="E131" s="378">
        <v>0</v>
      </c>
    </row>
    <row r="132" spans="1:5" s="434" customFormat="1" ht="15.75" x14ac:dyDescent="0.25">
      <c r="A132" s="313" t="s">
        <v>605</v>
      </c>
      <c r="B132" s="378">
        <v>318826.89</v>
      </c>
      <c r="C132" s="378">
        <v>0</v>
      </c>
      <c r="D132" s="261">
        <v>2500000</v>
      </c>
      <c r="E132" s="378">
        <v>2237326.9900000002</v>
      </c>
    </row>
    <row r="133" spans="1:5" ht="15.75" x14ac:dyDescent="0.25">
      <c r="A133" s="310" t="s">
        <v>463</v>
      </c>
      <c r="B133" s="378">
        <v>0</v>
      </c>
      <c r="C133" s="378">
        <v>0</v>
      </c>
      <c r="D133" s="261">
        <v>3375785</v>
      </c>
      <c r="E133" s="378">
        <v>1865001.63</v>
      </c>
    </row>
    <row r="134" spans="1:5" ht="16.5" thickBot="1" x14ac:dyDescent="0.3">
      <c r="A134" s="310" t="s">
        <v>129</v>
      </c>
      <c r="B134" s="464">
        <v>825159.59</v>
      </c>
      <c r="C134" s="464">
        <v>664404.09</v>
      </c>
      <c r="D134" s="425">
        <v>1404500</v>
      </c>
      <c r="E134" s="464">
        <v>1091676.71</v>
      </c>
    </row>
    <row r="135" spans="1:5" ht="24" thickBot="1" x14ac:dyDescent="0.4">
      <c r="A135" s="323" t="s">
        <v>130</v>
      </c>
      <c r="B135" s="350">
        <f>B126+B106+B3</f>
        <v>23444901.140000001</v>
      </c>
      <c r="C135" s="350">
        <f>C126+C106+C3</f>
        <v>26973903.57</v>
      </c>
      <c r="D135" s="324">
        <f>D126+D106+D3</f>
        <v>40101182</v>
      </c>
      <c r="E135" s="350">
        <f>E126+E106+E3</f>
        <v>37854410.780000001</v>
      </c>
    </row>
    <row r="136" spans="1:5" ht="15.75" x14ac:dyDescent="0.25">
      <c r="A136" s="325"/>
    </row>
  </sheetData>
  <sheetProtection selectLockedCells="1" selectUnlockedCells="1"/>
  <mergeCells count="1">
    <mergeCell ref="A1:E1"/>
  </mergeCells>
  <phoneticPr fontId="0" type="noConversion"/>
  <pageMargins left="1.1811023622047245" right="0" top="0" bottom="0" header="0.51181102362204722" footer="0.51181102362204722"/>
  <pageSetup paperSize="8" scale="74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01"/>
  <sheetViews>
    <sheetView topLeftCell="B1" zoomScale="80" zoomScaleNormal="80" workbookViewId="0">
      <pane xSplit="2" ySplit="7" topLeftCell="D62" activePane="bottomRight" state="frozen"/>
      <selection activeCell="B1" sqref="B1"/>
      <selection pane="topRight" activeCell="T1" sqref="T1"/>
      <selection pane="bottomLeft" activeCell="B163" sqref="B163"/>
      <selection pane="bottomRight" activeCell="B86" sqref="B86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11" width="12.7109375" style="101" customWidth="1"/>
    <col min="12" max="13" width="14.85546875" style="102" bestFit="1" customWidth="1"/>
    <col min="14" max="15" width="13.5703125" style="102" bestFit="1" customWidth="1"/>
    <col min="16" max="17" width="16" style="351" bestFit="1" customWidth="1"/>
    <col min="18" max="19" width="14.85546875" style="351" bestFit="1" customWidth="1"/>
    <col min="20" max="16384" width="9.140625" style="101"/>
  </cols>
  <sheetData>
    <row r="1" spans="1:19" ht="27.75" customHeight="1" x14ac:dyDescent="0.2">
      <c r="A1" s="121"/>
      <c r="B1" s="764" t="s">
        <v>643</v>
      </c>
      <c r="C1" s="764"/>
      <c r="D1" s="764"/>
      <c r="E1" s="764"/>
      <c r="F1" s="764"/>
      <c r="G1" s="764"/>
      <c r="H1" s="764"/>
      <c r="I1" s="764"/>
      <c r="J1" s="764"/>
      <c r="K1" s="764"/>
      <c r="L1" s="764"/>
      <c r="M1" s="764"/>
      <c r="N1" s="764"/>
      <c r="O1" s="764"/>
      <c r="P1" s="764"/>
      <c r="Q1" s="764"/>
      <c r="R1" s="764"/>
      <c r="S1" s="764"/>
    </row>
    <row r="2" spans="1:19" ht="7.5" customHeight="1" thickBot="1" x14ac:dyDescent="0.25">
      <c r="A2" s="121"/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764"/>
      <c r="Q2" s="764"/>
      <c r="R2" s="764"/>
      <c r="S2" s="764"/>
    </row>
    <row r="3" spans="1:19" ht="13.5" customHeight="1" thickBot="1" x14ac:dyDescent="0.25">
      <c r="A3" s="121"/>
      <c r="D3" s="769" t="s">
        <v>586</v>
      </c>
      <c r="E3" s="770"/>
      <c r="F3" s="770"/>
      <c r="G3" s="771"/>
      <c r="H3" s="769" t="s">
        <v>616</v>
      </c>
      <c r="I3" s="770"/>
      <c r="J3" s="770"/>
      <c r="K3" s="771"/>
      <c r="L3" s="775" t="s">
        <v>640</v>
      </c>
      <c r="M3" s="776"/>
      <c r="N3" s="776"/>
      <c r="O3" s="777"/>
      <c r="P3" s="781" t="s">
        <v>644</v>
      </c>
      <c r="Q3" s="782"/>
      <c r="R3" s="782"/>
      <c r="S3" s="783"/>
    </row>
    <row r="4" spans="1:19" ht="21" customHeight="1" x14ac:dyDescent="0.2">
      <c r="A4" s="121"/>
      <c r="B4" s="765" t="s">
        <v>405</v>
      </c>
      <c r="C4" s="766"/>
      <c r="D4" s="772"/>
      <c r="E4" s="773"/>
      <c r="F4" s="773"/>
      <c r="G4" s="774"/>
      <c r="H4" s="772"/>
      <c r="I4" s="773"/>
      <c r="J4" s="773"/>
      <c r="K4" s="774"/>
      <c r="L4" s="778"/>
      <c r="M4" s="779"/>
      <c r="N4" s="779"/>
      <c r="O4" s="780"/>
      <c r="P4" s="784"/>
      <c r="Q4" s="785"/>
      <c r="R4" s="785"/>
      <c r="S4" s="786"/>
    </row>
    <row r="5" spans="1:19" ht="24.75" thickBot="1" x14ac:dyDescent="0.25">
      <c r="A5" s="121"/>
      <c r="B5" s="767"/>
      <c r="C5" s="768"/>
      <c r="D5" s="357" t="s">
        <v>395</v>
      </c>
      <c r="E5" s="359" t="s">
        <v>408</v>
      </c>
      <c r="F5" s="359" t="s">
        <v>409</v>
      </c>
      <c r="G5" s="356" t="s">
        <v>400</v>
      </c>
      <c r="H5" s="357" t="s">
        <v>395</v>
      </c>
      <c r="I5" s="359" t="s">
        <v>408</v>
      </c>
      <c r="J5" s="359" t="s">
        <v>409</v>
      </c>
      <c r="K5" s="356" t="s">
        <v>400</v>
      </c>
      <c r="L5" s="357" t="s">
        <v>395</v>
      </c>
      <c r="M5" s="359" t="s">
        <v>408</v>
      </c>
      <c r="N5" s="359" t="s">
        <v>409</v>
      </c>
      <c r="O5" s="356" t="s">
        <v>400</v>
      </c>
      <c r="P5" s="665" t="s">
        <v>395</v>
      </c>
      <c r="Q5" s="666" t="s">
        <v>408</v>
      </c>
      <c r="R5" s="666" t="s">
        <v>409</v>
      </c>
      <c r="S5" s="667" t="s">
        <v>400</v>
      </c>
    </row>
    <row r="6" spans="1:19" ht="24" customHeight="1" thickBot="1" x14ac:dyDescent="0.3">
      <c r="A6" s="121"/>
      <c r="B6" s="409" t="s">
        <v>147</v>
      </c>
      <c r="C6" s="410"/>
      <c r="D6" s="450">
        <f t="shared" ref="D6:S6" si="0">D8+D22+D36+D46+D52+D68+D76+D91+D95+D120+D131+D140+D152+D178+D179</f>
        <v>21754762.269999996</v>
      </c>
      <c r="E6" s="386">
        <f t="shared" si="0"/>
        <v>19076711.210000001</v>
      </c>
      <c r="F6" s="386">
        <f t="shared" si="0"/>
        <v>2465491.37</v>
      </c>
      <c r="G6" s="408">
        <f t="shared" si="0"/>
        <v>212559.69</v>
      </c>
      <c r="H6" s="358">
        <f>H8+H22+H36+H46+H52+H68+H76+H91+H95+H120+H131+H140+H152+H178+H179</f>
        <v>26218633.940000005</v>
      </c>
      <c r="I6" s="465">
        <f>I8+I22+I36+I46+I52+I68+I76+I91+I95+I120+I131+I140+I152+I178+I179</f>
        <v>21624169.170000006</v>
      </c>
      <c r="J6" s="465">
        <f t="shared" si="0"/>
        <v>3600923.2700000005</v>
      </c>
      <c r="K6" s="408">
        <f t="shared" si="0"/>
        <v>993541.5</v>
      </c>
      <c r="L6" s="358">
        <f t="shared" si="0"/>
        <v>38601182</v>
      </c>
      <c r="M6" s="465">
        <f t="shared" si="0"/>
        <v>25760853</v>
      </c>
      <c r="N6" s="465">
        <f t="shared" si="0"/>
        <v>9676429</v>
      </c>
      <c r="O6" s="408">
        <f t="shared" si="0"/>
        <v>3163900</v>
      </c>
      <c r="P6" s="668">
        <f t="shared" si="0"/>
        <v>36306609.989999995</v>
      </c>
      <c r="Q6" s="669">
        <f t="shared" si="0"/>
        <v>24581390.029999994</v>
      </c>
      <c r="R6" s="669">
        <f t="shared" si="0"/>
        <v>8825125.5999999996</v>
      </c>
      <c r="S6" s="670">
        <f t="shared" si="0"/>
        <v>2900094.3600000003</v>
      </c>
    </row>
    <row r="7" spans="1:19" ht="13.5" thickBot="1" x14ac:dyDescent="0.25">
      <c r="A7" s="121"/>
      <c r="B7" s="253" t="s">
        <v>148</v>
      </c>
      <c r="C7" s="254"/>
      <c r="D7" s="451"/>
      <c r="E7" s="102"/>
      <c r="F7" s="102"/>
      <c r="G7" s="390"/>
      <c r="H7" s="451"/>
      <c r="I7" s="102"/>
      <c r="J7" s="102"/>
      <c r="K7" s="390"/>
      <c r="L7" s="389"/>
      <c r="M7" s="249"/>
      <c r="N7" s="249"/>
      <c r="O7" s="390"/>
      <c r="P7" s="671"/>
      <c r="Q7" s="672"/>
      <c r="R7" s="672"/>
      <c r="S7" s="673"/>
    </row>
    <row r="8" spans="1:19" ht="15.75" x14ac:dyDescent="0.25">
      <c r="A8" s="121"/>
      <c r="B8" s="271" t="s">
        <v>149</v>
      </c>
      <c r="C8" s="272"/>
      <c r="D8" s="265">
        <f t="shared" ref="D8" si="1">D9+D14+D18+D19+D20+D21</f>
        <v>370535.19</v>
      </c>
      <c r="E8" s="266">
        <f t="shared" ref="E8:S8" si="2">E9+E14+E18+E19+E20+E21</f>
        <v>328826.02999999997</v>
      </c>
      <c r="F8" s="266">
        <f t="shared" si="2"/>
        <v>41709.160000000003</v>
      </c>
      <c r="G8" s="341">
        <f>G9+G14+G18+G19+G20+G21</f>
        <v>0</v>
      </c>
      <c r="H8" s="265">
        <f t="shared" si="2"/>
        <v>466634.43</v>
      </c>
      <c r="I8" s="266">
        <f t="shared" si="2"/>
        <v>410992.58</v>
      </c>
      <c r="J8" s="266">
        <f t="shared" si="2"/>
        <v>55641.85</v>
      </c>
      <c r="K8" s="267">
        <f t="shared" si="2"/>
        <v>0</v>
      </c>
      <c r="L8" s="265">
        <f t="shared" si="2"/>
        <v>496535</v>
      </c>
      <c r="M8" s="266">
        <f t="shared" si="2"/>
        <v>426535</v>
      </c>
      <c r="N8" s="266">
        <f t="shared" si="2"/>
        <v>70000</v>
      </c>
      <c r="O8" s="354">
        <f t="shared" si="2"/>
        <v>0</v>
      </c>
      <c r="P8" s="674">
        <f t="shared" si="2"/>
        <v>422617.83999999997</v>
      </c>
      <c r="Q8" s="675">
        <f t="shared" si="2"/>
        <v>379682.43999999994</v>
      </c>
      <c r="R8" s="675">
        <f t="shared" si="2"/>
        <v>42935.4</v>
      </c>
      <c r="S8" s="676">
        <f t="shared" si="2"/>
        <v>0</v>
      </c>
    </row>
    <row r="9" spans="1:19" ht="15.75" x14ac:dyDescent="0.25">
      <c r="A9" s="121"/>
      <c r="B9" s="273" t="s">
        <v>150</v>
      </c>
      <c r="C9" s="274" t="s">
        <v>151</v>
      </c>
      <c r="D9" s="259">
        <f t="shared" ref="D9:G9" si="3">SUM(D10:D13)</f>
        <v>221887.21</v>
      </c>
      <c r="E9" s="257">
        <f t="shared" si="3"/>
        <v>221887.21</v>
      </c>
      <c r="F9" s="257">
        <f t="shared" si="3"/>
        <v>0</v>
      </c>
      <c r="G9" s="270">
        <f t="shared" si="3"/>
        <v>0</v>
      </c>
      <c r="H9" s="259">
        <f>SUM(H10:H13)</f>
        <v>261704.16</v>
      </c>
      <c r="I9" s="257">
        <f t="shared" ref="I9:K9" si="4">SUM(I10:I13)</f>
        <v>261704.16</v>
      </c>
      <c r="J9" s="257">
        <f t="shared" si="4"/>
        <v>0</v>
      </c>
      <c r="K9" s="258">
        <f t="shared" si="4"/>
        <v>0</v>
      </c>
      <c r="L9" s="259">
        <f>SUM(L10:L13)</f>
        <v>252590</v>
      </c>
      <c r="M9" s="257">
        <f t="shared" ref="M9:O9" si="5">SUM(M10:M13)</f>
        <v>252590</v>
      </c>
      <c r="N9" s="257">
        <f t="shared" si="5"/>
        <v>0</v>
      </c>
      <c r="O9" s="355">
        <f t="shared" si="5"/>
        <v>0</v>
      </c>
      <c r="P9" s="677">
        <f>SUM(P10:P13)</f>
        <v>244687.93999999997</v>
      </c>
      <c r="Q9" s="678">
        <f t="shared" ref="Q9:S9" si="6">SUM(Q10:Q13)</f>
        <v>244687.93999999997</v>
      </c>
      <c r="R9" s="678">
        <f t="shared" si="6"/>
        <v>0</v>
      </c>
      <c r="S9" s="679">
        <f t="shared" si="6"/>
        <v>0</v>
      </c>
    </row>
    <row r="10" spans="1:19" ht="15.75" x14ac:dyDescent="0.25">
      <c r="A10" s="121"/>
      <c r="B10" s="273">
        <v>1</v>
      </c>
      <c r="C10" s="274" t="s">
        <v>152</v>
      </c>
      <c r="D10" s="259">
        <f>SUM(E10:G10)</f>
        <v>95089.45</v>
      </c>
      <c r="E10" s="257">
        <f>'[1]1.Plánovanie, manažment a kontr'!$W$5</f>
        <v>95089.45</v>
      </c>
      <c r="F10" s="257">
        <f>'[1]1.Plánovanie, manažment a kontr'!$X$5</f>
        <v>0</v>
      </c>
      <c r="G10" s="270">
        <f>'[1]1.Plánovanie, manažment a kontr'!$Y$5</f>
        <v>0</v>
      </c>
      <c r="H10" s="259">
        <f>SUM(I10:K10)</f>
        <v>102410.45999999999</v>
      </c>
      <c r="I10" s="257">
        <f>'[2]1.Plánovanie, manažment a kontr'!$W$5</f>
        <v>102410.45999999999</v>
      </c>
      <c r="J10" s="257">
        <f>'[2]1.Plánovanie, manažment a kontr'!$X$5</f>
        <v>0</v>
      </c>
      <c r="K10" s="258">
        <f>'[2]1.Plánovanie, manažment a kontr'!$Y$5</f>
        <v>0</v>
      </c>
      <c r="L10" s="259">
        <f>SUM(M10:O10)</f>
        <v>111670</v>
      </c>
      <c r="M10" s="257">
        <f>'[3]1.Plánovanie, manažment a kontr'!$Z$5</f>
        <v>111670</v>
      </c>
      <c r="N10" s="257">
        <f>'[3]1.Plánovanie, manažment a kontr'!$AA$5</f>
        <v>0</v>
      </c>
      <c r="O10" s="355">
        <f>'[3]1.Plánovanie, manažment a kontr'!$AB$5</f>
        <v>0</v>
      </c>
      <c r="P10" s="677">
        <f>SUM(Q10:S10)</f>
        <v>110777.61</v>
      </c>
      <c r="Q10" s="678">
        <f>'[3]1.Plánovanie, manažment a kontr'!$AC$5</f>
        <v>110777.61</v>
      </c>
      <c r="R10" s="678">
        <f>'[3]1.Plánovanie, manažment a kontr'!$AD$5</f>
        <v>0</v>
      </c>
      <c r="S10" s="679">
        <f>'[3]1.Plánovanie, manažment a kontr'!$AE$5</f>
        <v>0</v>
      </c>
    </row>
    <row r="11" spans="1:19" ht="15.75" x14ac:dyDescent="0.25">
      <c r="A11" s="122"/>
      <c r="B11" s="273">
        <v>2</v>
      </c>
      <c r="C11" s="274" t="s">
        <v>153</v>
      </c>
      <c r="D11" s="259">
        <f>SUM(E11:G11)</f>
        <v>44917.61</v>
      </c>
      <c r="E11" s="257">
        <f>'[1]1.Plánovanie, manažment a kontr'!$W$17</f>
        <v>44917.61</v>
      </c>
      <c r="F11" s="257">
        <f>'[1]1.Plánovanie, manažment a kontr'!$X$17</f>
        <v>0</v>
      </c>
      <c r="G11" s="270">
        <f>'[1]1.Plánovanie, manažment a kontr'!$Y$17</f>
        <v>0</v>
      </c>
      <c r="H11" s="259">
        <f>SUM(I11:K11)</f>
        <v>43847.799999999996</v>
      </c>
      <c r="I11" s="257">
        <f>'[2]1.Plánovanie, manažment a kontr'!$W$17</f>
        <v>43847.799999999996</v>
      </c>
      <c r="J11" s="257">
        <f>'[2]1.Plánovanie, manažment a kontr'!$X$17</f>
        <v>0</v>
      </c>
      <c r="K11" s="258">
        <f>'[2]1.Plánovanie, manažment a kontr'!$Y$17</f>
        <v>0</v>
      </c>
      <c r="L11" s="259">
        <f>SUM(M11:O11)</f>
        <v>50120</v>
      </c>
      <c r="M11" s="257">
        <f>'[3]1.Plánovanie, manažment a kontr'!$Z$17</f>
        <v>50120</v>
      </c>
      <c r="N11" s="257">
        <f>'[3]1.Plánovanie, manažment a kontr'!$AA$17</f>
        <v>0</v>
      </c>
      <c r="O11" s="355">
        <f>'[3]1.Plánovanie, manažment a kontr'!$AB$17</f>
        <v>0</v>
      </c>
      <c r="P11" s="677">
        <f>SUM(Q11:S11)</f>
        <v>48329.929999999993</v>
      </c>
      <c r="Q11" s="678">
        <f>'[3]1.Plánovanie, manažment a kontr'!$AC$17</f>
        <v>48329.929999999993</v>
      </c>
      <c r="R11" s="678">
        <f>'[3]1.Plánovanie, manažment a kontr'!$AD$17</f>
        <v>0</v>
      </c>
      <c r="S11" s="679">
        <f>'[3]1.Plánovanie, manažment a kontr'!$AE$17</f>
        <v>0</v>
      </c>
    </row>
    <row r="12" spans="1:19" ht="15.75" x14ac:dyDescent="0.25">
      <c r="A12" s="122"/>
      <c r="B12" s="273">
        <v>3</v>
      </c>
      <c r="C12" s="274" t="s">
        <v>154</v>
      </c>
      <c r="D12" s="259">
        <f>SUM(E12:G12)</f>
        <v>81880.149999999994</v>
      </c>
      <c r="E12" s="257">
        <f>'[1]1.Plánovanie, manažment a kontr'!$W$28</f>
        <v>81880.149999999994</v>
      </c>
      <c r="F12" s="257">
        <f>'[1]1.Plánovanie, manažment a kontr'!$X$28</f>
        <v>0</v>
      </c>
      <c r="G12" s="270">
        <f>'[1]1.Plánovanie, manažment a kontr'!$Y$28</f>
        <v>0</v>
      </c>
      <c r="H12" s="259">
        <f>SUM(I12:K12)</f>
        <v>108129.70000000001</v>
      </c>
      <c r="I12" s="257">
        <f>'[2]1.Plánovanie, manažment a kontr'!$W$28</f>
        <v>108129.70000000001</v>
      </c>
      <c r="J12" s="257">
        <f>'[2]1.Plánovanie, manažment a kontr'!$X$28</f>
        <v>0</v>
      </c>
      <c r="K12" s="258">
        <f>'[2]1.Plánovanie, manažment a kontr'!$Y$28</f>
        <v>0</v>
      </c>
      <c r="L12" s="259">
        <f>SUM(M12:O12)</f>
        <v>86400</v>
      </c>
      <c r="M12" s="257">
        <f>'[3]1.Plánovanie, manažment a kontr'!$Z$28</f>
        <v>86400</v>
      </c>
      <c r="N12" s="257">
        <f>'[3]1.Plánovanie, manažment a kontr'!$AA$28</f>
        <v>0</v>
      </c>
      <c r="O12" s="355">
        <f>'[3]1.Plánovanie, manažment a kontr'!$AB$28</f>
        <v>0</v>
      </c>
      <c r="P12" s="677">
        <f>SUM(Q12:S12)</f>
        <v>85580.4</v>
      </c>
      <c r="Q12" s="678">
        <f>'[3]1.Plánovanie, manažment a kontr'!$AC$28</f>
        <v>85580.4</v>
      </c>
      <c r="R12" s="678">
        <f>'[3]1.Plánovanie, manažment a kontr'!$AD$28</f>
        <v>0</v>
      </c>
      <c r="S12" s="679">
        <f>'[3]1.Plánovanie, manažment a kontr'!$AE$28</f>
        <v>0</v>
      </c>
    </row>
    <row r="13" spans="1:19" ht="15.75" x14ac:dyDescent="0.25">
      <c r="A13" s="122"/>
      <c r="B13" s="273">
        <v>4</v>
      </c>
      <c r="C13" s="274" t="s">
        <v>155</v>
      </c>
      <c r="D13" s="259">
        <f>SUM(E13:G13)</f>
        <v>0</v>
      </c>
      <c r="E13" s="257">
        <f>'[1]1.Plánovanie, manažment a kontr'!$W$33</f>
        <v>0</v>
      </c>
      <c r="F13" s="257">
        <f>'[1]1.Plánovanie, manažment a kontr'!$X$33</f>
        <v>0</v>
      </c>
      <c r="G13" s="270">
        <f>'[1]1.Plánovanie, manažment a kontr'!$Y$33</f>
        <v>0</v>
      </c>
      <c r="H13" s="259">
        <f>SUM(I13:K13)</f>
        <v>7316.2</v>
      </c>
      <c r="I13" s="257">
        <f>'[2]1.Plánovanie, manažment a kontr'!$W$33</f>
        <v>7316.2</v>
      </c>
      <c r="J13" s="257">
        <f>'[2]1.Plánovanie, manažment a kontr'!$X$33</f>
        <v>0</v>
      </c>
      <c r="K13" s="258">
        <f>'[2]1.Plánovanie, manažment a kontr'!$Y$33</f>
        <v>0</v>
      </c>
      <c r="L13" s="259">
        <f>SUM(M13:O13)</f>
        <v>4400</v>
      </c>
      <c r="M13" s="257">
        <f>'[3]1.Plánovanie, manažment a kontr'!$Z$33</f>
        <v>4400</v>
      </c>
      <c r="N13" s="257">
        <f>'[3]1.Plánovanie, manažment a kontr'!$AA$33</f>
        <v>0</v>
      </c>
      <c r="O13" s="355">
        <f>'[3]1.Plánovanie, manažment a kontr'!$AB$33</f>
        <v>0</v>
      </c>
      <c r="P13" s="677">
        <f>SUM(Q13:S13)</f>
        <v>0</v>
      </c>
      <c r="Q13" s="678">
        <f>'[3]1.Plánovanie, manažment a kontr'!$AC$33</f>
        <v>0</v>
      </c>
      <c r="R13" s="678">
        <f>'[3]1.Plánovanie, manažment a kontr'!$AD$33</f>
        <v>0</v>
      </c>
      <c r="S13" s="679">
        <f>'[3]1.Plánovanie, manažment a kontr'!$AE$33</f>
        <v>0</v>
      </c>
    </row>
    <row r="14" spans="1:19" ht="15.75" x14ac:dyDescent="0.25">
      <c r="A14" s="122"/>
      <c r="B14" s="273" t="s">
        <v>156</v>
      </c>
      <c r="C14" s="274" t="s">
        <v>157</v>
      </c>
      <c r="D14" s="259">
        <f t="shared" ref="D14:G14" si="7">SUM(D15:D17)</f>
        <v>58596.280000000006</v>
      </c>
      <c r="E14" s="257">
        <f t="shared" si="7"/>
        <v>16887.120000000003</v>
      </c>
      <c r="F14" s="257">
        <f t="shared" si="7"/>
        <v>41709.160000000003</v>
      </c>
      <c r="G14" s="270">
        <f t="shared" si="7"/>
        <v>0</v>
      </c>
      <c r="H14" s="259">
        <f>SUM(H15:H17)</f>
        <v>97354.76999999999</v>
      </c>
      <c r="I14" s="257">
        <f t="shared" ref="I14:K14" si="8">SUM(I15:I17)</f>
        <v>41712.92</v>
      </c>
      <c r="J14" s="257">
        <f t="shared" si="8"/>
        <v>55641.85</v>
      </c>
      <c r="K14" s="258">
        <f t="shared" si="8"/>
        <v>0</v>
      </c>
      <c r="L14" s="259">
        <f>SUM(L15:L17)</f>
        <v>119045</v>
      </c>
      <c r="M14" s="257">
        <f t="shared" ref="M14:O14" si="9">SUM(M15:M17)</f>
        <v>49045</v>
      </c>
      <c r="N14" s="257">
        <f t="shared" si="9"/>
        <v>70000</v>
      </c>
      <c r="O14" s="355">
        <f t="shared" si="9"/>
        <v>0</v>
      </c>
      <c r="P14" s="677">
        <f>SUM(P15:P17)</f>
        <v>63896.39</v>
      </c>
      <c r="Q14" s="678">
        <f t="shared" ref="Q14:S14" si="10">SUM(Q15:Q17)</f>
        <v>20960.990000000002</v>
      </c>
      <c r="R14" s="678">
        <f t="shared" si="10"/>
        <v>42935.4</v>
      </c>
      <c r="S14" s="679">
        <f t="shared" si="10"/>
        <v>0</v>
      </c>
    </row>
    <row r="15" spans="1:19" ht="15.75" x14ac:dyDescent="0.25">
      <c r="A15" s="122"/>
      <c r="B15" s="273">
        <v>1</v>
      </c>
      <c r="C15" s="274" t="s">
        <v>158</v>
      </c>
      <c r="D15" s="259">
        <f>SUM(E15:G15)</f>
        <v>16791.120000000003</v>
      </c>
      <c r="E15" s="257">
        <f>'[1]1.Plánovanie, manažment a kontr'!$W$41</f>
        <v>16791.120000000003</v>
      </c>
      <c r="F15" s="257">
        <f>'[1]1.Plánovanie, manažment a kontr'!$X$41</f>
        <v>0</v>
      </c>
      <c r="G15" s="270">
        <f>'[1]1.Plánovanie, manažment a kontr'!$Y$41</f>
        <v>0</v>
      </c>
      <c r="H15" s="259">
        <f>SUM(I15:K15)</f>
        <v>18335.53</v>
      </c>
      <c r="I15" s="257">
        <f>'[2]1.Plánovanie, manažment a kontr'!$W$41</f>
        <v>18335.53</v>
      </c>
      <c r="J15" s="257">
        <f>'[2]1.Plánovanie, manažment a kontr'!$X$41</f>
        <v>0</v>
      </c>
      <c r="K15" s="258">
        <f>'[2]1.Plánovanie, manažment a kontr'!$Y$41</f>
        <v>0</v>
      </c>
      <c r="L15" s="259">
        <f>SUM(M15:O15)</f>
        <v>23945</v>
      </c>
      <c r="M15" s="257">
        <f>'[3]1.Plánovanie, manažment a kontr'!$Z$41</f>
        <v>23945</v>
      </c>
      <c r="N15" s="257">
        <f>'[3]1.Plánovanie, manažment a kontr'!$AA$41</f>
        <v>0</v>
      </c>
      <c r="O15" s="355">
        <f>'[3]1.Plánovanie, manažment a kontr'!$AB$41</f>
        <v>0</v>
      </c>
      <c r="P15" s="677">
        <f>SUM(Q15:S15)</f>
        <v>17920.990000000002</v>
      </c>
      <c r="Q15" s="678">
        <f>'[3]1.Plánovanie, manažment a kontr'!$AC$41</f>
        <v>17920.990000000002</v>
      </c>
      <c r="R15" s="678">
        <f>'[3]1.Plánovanie, manažment a kontr'!$AD$41</f>
        <v>0</v>
      </c>
      <c r="S15" s="679">
        <f>'[3]1.Plánovanie, manažment a kontr'!$AE$41</f>
        <v>0</v>
      </c>
    </row>
    <row r="16" spans="1:19" ht="15.75" x14ac:dyDescent="0.25">
      <c r="A16" s="122"/>
      <c r="B16" s="273">
        <v>2</v>
      </c>
      <c r="C16" s="274" t="s">
        <v>159</v>
      </c>
      <c r="D16" s="259">
        <f t="shared" ref="D16:D21" si="11">SUM(E16:G16)</f>
        <v>0</v>
      </c>
      <c r="E16" s="257">
        <f>'[1]1.Plánovanie, manažment a kontr'!$W$58</f>
        <v>0</v>
      </c>
      <c r="F16" s="257">
        <f>'[1]1.Plánovanie, manažment a kontr'!$X$58</f>
        <v>0</v>
      </c>
      <c r="G16" s="270">
        <f>'[1]1.Plánovanie, manažment a kontr'!$Y$58</f>
        <v>0</v>
      </c>
      <c r="H16" s="259">
        <f t="shared" ref="H16:H21" si="12">SUM(I16:K16)</f>
        <v>21300</v>
      </c>
      <c r="I16" s="257">
        <f>'[2]1.Plánovanie, manažment a kontr'!$W$58</f>
        <v>21300</v>
      </c>
      <c r="J16" s="257">
        <f>'[2]1.Plánovanie, manažment a kontr'!$X$58</f>
        <v>0</v>
      </c>
      <c r="K16" s="258">
        <f>'[2]1.Plánovanie, manažment a kontr'!$Y$58</f>
        <v>0</v>
      </c>
      <c r="L16" s="259">
        <f t="shared" ref="L16:L21" si="13">SUM(M16:O16)</f>
        <v>22500</v>
      </c>
      <c r="M16" s="257">
        <f>'[3]1.Plánovanie, manažment a kontr'!$Z$58</f>
        <v>22500</v>
      </c>
      <c r="N16" s="257">
        <f>'[3]1.Plánovanie, manažment a kontr'!$AA$58</f>
        <v>0</v>
      </c>
      <c r="O16" s="355">
        <f>'[3]1.Plánovanie, manažment a kontr'!$AB$58</f>
        <v>0</v>
      </c>
      <c r="P16" s="677">
        <f t="shared" ref="P16:P21" si="14">SUM(Q16:S16)</f>
        <v>2100</v>
      </c>
      <c r="Q16" s="678">
        <f>'[3]1.Plánovanie, manažment a kontr'!$AC$58</f>
        <v>2100</v>
      </c>
      <c r="R16" s="678">
        <f>'[3]1.Plánovanie, manažment a kontr'!$AD$58</f>
        <v>0</v>
      </c>
      <c r="S16" s="679">
        <f>'[3]1.Plánovanie, manažment a kontr'!$AE$58</f>
        <v>0</v>
      </c>
    </row>
    <row r="17" spans="1:19" ht="15.75" x14ac:dyDescent="0.25">
      <c r="A17" s="122"/>
      <c r="B17" s="273">
        <v>3</v>
      </c>
      <c r="C17" s="274" t="s">
        <v>160</v>
      </c>
      <c r="D17" s="259">
        <f t="shared" si="11"/>
        <v>41805.160000000003</v>
      </c>
      <c r="E17" s="257">
        <f>'[1]1.Plánovanie, manažment a kontr'!$W$62</f>
        <v>96</v>
      </c>
      <c r="F17" s="257">
        <f>'[1]1.Plánovanie, manažment a kontr'!$X$62</f>
        <v>41709.160000000003</v>
      </c>
      <c r="G17" s="270">
        <f>'[1]1.Plánovanie, manažment a kontr'!$Y$62</f>
        <v>0</v>
      </c>
      <c r="H17" s="259">
        <f t="shared" si="12"/>
        <v>57719.24</v>
      </c>
      <c r="I17" s="257">
        <f>'[2]1.Plánovanie, manažment a kontr'!$W$62</f>
        <v>2077.39</v>
      </c>
      <c r="J17" s="257">
        <f>'[2]1.Plánovanie, manažment a kontr'!$X$62</f>
        <v>55641.85</v>
      </c>
      <c r="K17" s="258">
        <f>'[2]1.Plánovanie, manažment a kontr'!$Y$62</f>
        <v>0</v>
      </c>
      <c r="L17" s="259">
        <f t="shared" si="13"/>
        <v>72600</v>
      </c>
      <c r="M17" s="257">
        <f>'[3]1.Plánovanie, manažment a kontr'!$Z$62</f>
        <v>2600</v>
      </c>
      <c r="N17" s="257">
        <f>'[3]1.Plánovanie, manažment a kontr'!$AA$62</f>
        <v>70000</v>
      </c>
      <c r="O17" s="355">
        <f>'[3]1.Plánovanie, manažment a kontr'!$AB$62</f>
        <v>0</v>
      </c>
      <c r="P17" s="677">
        <f t="shared" si="14"/>
        <v>43875.4</v>
      </c>
      <c r="Q17" s="678">
        <f>'[3]1.Plánovanie, manažment a kontr'!$AC$62</f>
        <v>940</v>
      </c>
      <c r="R17" s="678">
        <f>'[3]1.Plánovanie, manažment a kontr'!$AD$62</f>
        <v>42935.4</v>
      </c>
      <c r="S17" s="679">
        <f>'[3]1.Plánovanie, manažment a kontr'!$AE$62</f>
        <v>0</v>
      </c>
    </row>
    <row r="18" spans="1:19" ht="15.75" x14ac:dyDescent="0.25">
      <c r="A18" s="102"/>
      <c r="B18" s="273" t="s">
        <v>161</v>
      </c>
      <c r="C18" s="274" t="s">
        <v>162</v>
      </c>
      <c r="D18" s="259">
        <f t="shared" si="11"/>
        <v>79235.239999999991</v>
      </c>
      <c r="E18" s="257">
        <f>'[1]1.Plánovanie, manažment a kontr'!$W$79</f>
        <v>79235.239999999991</v>
      </c>
      <c r="F18" s="257">
        <f>'[1]1.Plánovanie, manažment a kontr'!$X$79</f>
        <v>0</v>
      </c>
      <c r="G18" s="270">
        <f>'[1]1.Plánovanie, manažment a kontr'!$Y$79</f>
        <v>0</v>
      </c>
      <c r="H18" s="259">
        <f t="shared" si="12"/>
        <v>94618.590000000011</v>
      </c>
      <c r="I18" s="257">
        <f>'[2]1.Plánovanie, manažment a kontr'!$W$79</f>
        <v>94618.590000000011</v>
      </c>
      <c r="J18" s="257">
        <f>'[2]1.Plánovanie, manažment a kontr'!$X$79</f>
        <v>0</v>
      </c>
      <c r="K18" s="258">
        <f>'[2]1.Plánovanie, manažment a kontr'!$Y$79</f>
        <v>0</v>
      </c>
      <c r="L18" s="259">
        <f t="shared" si="13"/>
        <v>101200</v>
      </c>
      <c r="M18" s="257">
        <f>'[3]1.Plánovanie, manažment a kontr'!$Z$79</f>
        <v>101200</v>
      </c>
      <c r="N18" s="257">
        <f>'[3]1.Plánovanie, manažment a kontr'!$AA$79</f>
        <v>0</v>
      </c>
      <c r="O18" s="355">
        <f>'[3]1.Plánovanie, manažment a kontr'!$AB$79</f>
        <v>0</v>
      </c>
      <c r="P18" s="677">
        <f t="shared" si="14"/>
        <v>90960.98</v>
      </c>
      <c r="Q18" s="678">
        <f>'[3]1.Plánovanie, manažment a kontr'!$AC$79</f>
        <v>90960.98</v>
      </c>
      <c r="R18" s="678">
        <f>'[3]1.Plánovanie, manažment a kontr'!$AD$79</f>
        <v>0</v>
      </c>
      <c r="S18" s="679">
        <f>'[3]1.Plánovanie, manažment a kontr'!$AE$79</f>
        <v>0</v>
      </c>
    </row>
    <row r="19" spans="1:19" ht="15.75" x14ac:dyDescent="0.25">
      <c r="A19" s="121"/>
      <c r="B19" s="273" t="s">
        <v>163</v>
      </c>
      <c r="C19" s="274" t="s">
        <v>164</v>
      </c>
      <c r="D19" s="259">
        <f t="shared" si="11"/>
        <v>4320</v>
      </c>
      <c r="E19" s="257">
        <f>'[1]1.Plánovanie, manažment a kontr'!$W$88</f>
        <v>4320</v>
      </c>
      <c r="F19" s="257">
        <f>'[1]1.Plánovanie, manažment a kontr'!$X$88</f>
        <v>0</v>
      </c>
      <c r="G19" s="270">
        <f>'[1]1.Plánovanie, manažment a kontr'!$Y$88</f>
        <v>0</v>
      </c>
      <c r="H19" s="259">
        <f t="shared" si="12"/>
        <v>6444</v>
      </c>
      <c r="I19" s="257">
        <f>'[2]1.Plánovanie, manažment a kontr'!$W$88</f>
        <v>6444</v>
      </c>
      <c r="J19" s="257">
        <f>'[2]1.Plánovanie, manažment a kontr'!$X$88</f>
        <v>0</v>
      </c>
      <c r="K19" s="258">
        <f>'[2]1.Plánovanie, manažment a kontr'!$Y$88</f>
        <v>0</v>
      </c>
      <c r="L19" s="259">
        <f t="shared" si="13"/>
        <v>9100</v>
      </c>
      <c r="M19" s="257">
        <f>'[3]1.Plánovanie, manažment a kontr'!$Z$88</f>
        <v>9100</v>
      </c>
      <c r="N19" s="257">
        <f>'[3]1.Plánovanie, manažment a kontr'!$AA$88</f>
        <v>0</v>
      </c>
      <c r="O19" s="355">
        <f>'[3]1.Plánovanie, manažment a kontr'!$AB$88</f>
        <v>0</v>
      </c>
      <c r="P19" s="677">
        <f t="shared" si="14"/>
        <v>9048</v>
      </c>
      <c r="Q19" s="678">
        <f>'[3]1.Plánovanie, manažment a kontr'!$AC$88</f>
        <v>9048</v>
      </c>
      <c r="R19" s="678">
        <f>'[3]1.Plánovanie, manažment a kontr'!$AD$88</f>
        <v>0</v>
      </c>
      <c r="S19" s="679">
        <f>'[3]1.Plánovanie, manažment a kontr'!$AE$88</f>
        <v>0</v>
      </c>
    </row>
    <row r="20" spans="1:19" ht="15.75" x14ac:dyDescent="0.25">
      <c r="A20" s="121"/>
      <c r="B20" s="273" t="s">
        <v>165</v>
      </c>
      <c r="C20" s="274" t="s">
        <v>166</v>
      </c>
      <c r="D20" s="259">
        <f t="shared" si="11"/>
        <v>6496.46</v>
      </c>
      <c r="E20" s="257">
        <f>'[1]1.Plánovanie, manažment a kontr'!$W$92</f>
        <v>6496.46</v>
      </c>
      <c r="F20" s="257">
        <f>'[1]1.Plánovanie, manažment a kontr'!$X$92</f>
        <v>0</v>
      </c>
      <c r="G20" s="270">
        <f>'[1]1.Plánovanie, manažment a kontr'!$Y$92</f>
        <v>0</v>
      </c>
      <c r="H20" s="259">
        <f t="shared" si="12"/>
        <v>6512.91</v>
      </c>
      <c r="I20" s="257">
        <f>'[2]1.Plánovanie, manažment a kontr'!$W$92</f>
        <v>6512.91</v>
      </c>
      <c r="J20" s="257">
        <f>'[2]1.Plánovanie, manažment a kontr'!$X$92</f>
        <v>0</v>
      </c>
      <c r="K20" s="258">
        <f>'[2]1.Plánovanie, manažment a kontr'!$Y$92</f>
        <v>0</v>
      </c>
      <c r="L20" s="259">
        <f t="shared" si="13"/>
        <v>14600</v>
      </c>
      <c r="M20" s="257">
        <f>'[3]1.Plánovanie, manažment a kontr'!$Z$92</f>
        <v>14600</v>
      </c>
      <c r="N20" s="257">
        <f>'[3]1.Plánovanie, manažment a kontr'!$AA$92</f>
        <v>0</v>
      </c>
      <c r="O20" s="355">
        <f>'[3]1.Plánovanie, manažment a kontr'!$AB$92</f>
        <v>0</v>
      </c>
      <c r="P20" s="677">
        <f t="shared" si="14"/>
        <v>14024.529999999999</v>
      </c>
      <c r="Q20" s="678">
        <f>'[3]1.Plánovanie, manažment a kontr'!$AC$92</f>
        <v>14024.529999999999</v>
      </c>
      <c r="R20" s="678">
        <f>'[3]1.Plánovanie, manažment a kontr'!$AD$92</f>
        <v>0</v>
      </c>
      <c r="S20" s="679">
        <f>'[3]1.Plánovanie, manažment a kontr'!$AE$92</f>
        <v>0</v>
      </c>
    </row>
    <row r="21" spans="1:19" ht="16.5" outlineLevel="1" thickBot="1" x14ac:dyDescent="0.3">
      <c r="A21" s="121"/>
      <c r="B21" s="275" t="s">
        <v>167</v>
      </c>
      <c r="C21" s="276" t="s">
        <v>431</v>
      </c>
      <c r="D21" s="268">
        <f t="shared" si="11"/>
        <v>0</v>
      </c>
      <c r="E21" s="269">
        <f>'[1]1.Plánovanie, manažment a kontr'!$W$95</f>
        <v>0</v>
      </c>
      <c r="F21" s="269">
        <f>'[1]1.Plánovanie, manažment a kontr'!$X$95</f>
        <v>0</v>
      </c>
      <c r="G21" s="360">
        <f>'[1]1.Plánovanie, manažment a kontr'!$Y$95</f>
        <v>0</v>
      </c>
      <c r="H21" s="268">
        <f t="shared" si="12"/>
        <v>0</v>
      </c>
      <c r="I21" s="269">
        <f>'[2]1.Plánovanie, manažment a kontr'!$W$95</f>
        <v>0</v>
      </c>
      <c r="J21" s="269">
        <f>'[2]1.Plánovanie, manažment a kontr'!$X$95</f>
        <v>0</v>
      </c>
      <c r="K21" s="303">
        <f>'[2]1.Plánovanie, manažment a kontr'!$Y$95</f>
        <v>0</v>
      </c>
      <c r="L21" s="268">
        <f t="shared" si="13"/>
        <v>0</v>
      </c>
      <c r="M21" s="269">
        <f>'[3]1.Plánovanie, manažment a kontr'!$Z$95</f>
        <v>0</v>
      </c>
      <c r="N21" s="269">
        <f>'[3]1.Plánovanie, manažment a kontr'!$AA$95</f>
        <v>0</v>
      </c>
      <c r="O21" s="479">
        <f>'[3]1.Plánovanie, manažment a kontr'!$AB$95</f>
        <v>0</v>
      </c>
      <c r="P21" s="680">
        <f t="shared" si="14"/>
        <v>0</v>
      </c>
      <c r="Q21" s="681">
        <f>'[3]1.Plánovanie, manažment a kontr'!$AC$95</f>
        <v>0</v>
      </c>
      <c r="R21" s="681">
        <f>'[3]1.Plánovanie, manažment a kontr'!$AD$95</f>
        <v>0</v>
      </c>
      <c r="S21" s="682">
        <f>'[3]1.Plánovanie, manažment a kontr'!$AE$95</f>
        <v>0</v>
      </c>
    </row>
    <row r="22" spans="1:19" s="123" customFormat="1" ht="15.75" x14ac:dyDescent="0.25">
      <c r="A22" s="122"/>
      <c r="B22" s="277" t="s">
        <v>169</v>
      </c>
      <c r="C22" s="278"/>
      <c r="D22" s="265">
        <f t="shared" ref="D22:S22" si="15">D23+D32+D35</f>
        <v>42542.48</v>
      </c>
      <c r="E22" s="266">
        <f t="shared" si="15"/>
        <v>42542.48</v>
      </c>
      <c r="F22" s="266">
        <f t="shared" si="15"/>
        <v>0</v>
      </c>
      <c r="G22" s="341">
        <f t="shared" si="15"/>
        <v>0</v>
      </c>
      <c r="H22" s="265">
        <f t="shared" si="15"/>
        <v>40504.659999999996</v>
      </c>
      <c r="I22" s="266">
        <f t="shared" si="15"/>
        <v>40504.659999999996</v>
      </c>
      <c r="J22" s="266">
        <f t="shared" si="15"/>
        <v>0</v>
      </c>
      <c r="K22" s="267">
        <f t="shared" si="15"/>
        <v>0</v>
      </c>
      <c r="L22" s="265">
        <f t="shared" si="15"/>
        <v>51510</v>
      </c>
      <c r="M22" s="266">
        <f t="shared" si="15"/>
        <v>51510</v>
      </c>
      <c r="N22" s="266">
        <f t="shared" si="15"/>
        <v>0</v>
      </c>
      <c r="O22" s="354">
        <f t="shared" si="15"/>
        <v>0</v>
      </c>
      <c r="P22" s="674">
        <f t="shared" si="15"/>
        <v>41825.520000000004</v>
      </c>
      <c r="Q22" s="675">
        <f t="shared" si="15"/>
        <v>41825.520000000004</v>
      </c>
      <c r="R22" s="675">
        <f t="shared" si="15"/>
        <v>0</v>
      </c>
      <c r="S22" s="676">
        <f t="shared" si="15"/>
        <v>0</v>
      </c>
    </row>
    <row r="23" spans="1:19" ht="15.75" x14ac:dyDescent="0.25">
      <c r="A23" s="121"/>
      <c r="B23" s="273" t="s">
        <v>170</v>
      </c>
      <c r="C23" s="274" t="s">
        <v>171</v>
      </c>
      <c r="D23" s="259">
        <f t="shared" ref="D23:G23" si="16">SUM(D24:D31)</f>
        <v>30388.03</v>
      </c>
      <c r="E23" s="257">
        <f t="shared" si="16"/>
        <v>30388.03</v>
      </c>
      <c r="F23" s="257">
        <f t="shared" si="16"/>
        <v>0</v>
      </c>
      <c r="G23" s="270">
        <f t="shared" si="16"/>
        <v>0</v>
      </c>
      <c r="H23" s="259">
        <f t="shared" ref="H23:K23" si="17">SUM(H24:H31)</f>
        <v>27427.09</v>
      </c>
      <c r="I23" s="257">
        <f t="shared" si="17"/>
        <v>27427.09</v>
      </c>
      <c r="J23" s="257">
        <f t="shared" si="17"/>
        <v>0</v>
      </c>
      <c r="K23" s="258">
        <f t="shared" si="17"/>
        <v>0</v>
      </c>
      <c r="L23" s="259">
        <f t="shared" ref="L23:S23" si="18">SUM(L24:L31)</f>
        <v>25910</v>
      </c>
      <c r="M23" s="257">
        <f t="shared" si="18"/>
        <v>25910</v>
      </c>
      <c r="N23" s="257">
        <f t="shared" si="18"/>
        <v>0</v>
      </c>
      <c r="O23" s="355">
        <f t="shared" si="18"/>
        <v>0</v>
      </c>
      <c r="P23" s="677">
        <f t="shared" si="18"/>
        <v>24548.870000000003</v>
      </c>
      <c r="Q23" s="678">
        <f t="shared" si="18"/>
        <v>24548.870000000003</v>
      </c>
      <c r="R23" s="678">
        <f t="shared" si="18"/>
        <v>0</v>
      </c>
      <c r="S23" s="679">
        <f t="shared" si="18"/>
        <v>0</v>
      </c>
    </row>
    <row r="24" spans="1:19" ht="15.75" x14ac:dyDescent="0.25">
      <c r="A24" s="124"/>
      <c r="B24" s="273">
        <v>1</v>
      </c>
      <c r="C24" s="274" t="s">
        <v>172</v>
      </c>
      <c r="D24" s="259">
        <f>SUM(E24:G24)</f>
        <v>340.06</v>
      </c>
      <c r="E24" s="257">
        <f>'[1]2. Propagácia a marketing'!$W$5</f>
        <v>340.06</v>
      </c>
      <c r="F24" s="257">
        <f>'[1]2. Propagácia a marketing'!$X$5</f>
        <v>0</v>
      </c>
      <c r="G24" s="270">
        <f>'[1]2. Propagácia a marketing'!$Y$5</f>
        <v>0</v>
      </c>
      <c r="H24" s="259">
        <f>SUM(I24:K24)</f>
        <v>340.06</v>
      </c>
      <c r="I24" s="257">
        <f>'[2]2. Propagácia a marketing'!$W$5</f>
        <v>340.06</v>
      </c>
      <c r="J24" s="257">
        <f>'[2]2. Propagácia a marketing'!$X$5</f>
        <v>0</v>
      </c>
      <c r="K24" s="258">
        <f>'[2]2. Propagácia a marketing'!$Y$5</f>
        <v>0</v>
      </c>
      <c r="L24" s="259">
        <f>SUM(M24:O24)</f>
        <v>350</v>
      </c>
      <c r="M24" s="257">
        <f>'[3]2. Propagácia a marketing'!$Z$5</f>
        <v>350</v>
      </c>
      <c r="N24" s="257">
        <f>'[3]2. Propagácia a marketing'!$AA$5</f>
        <v>0</v>
      </c>
      <c r="O24" s="355">
        <f>'[3]2. Propagácia a marketing'!$AB$5</f>
        <v>0</v>
      </c>
      <c r="P24" s="677">
        <f>SUM(Q24:S24)</f>
        <v>340.06</v>
      </c>
      <c r="Q24" s="678">
        <f>'[3]2. Propagácia a marketing'!$AC$5</f>
        <v>340.06</v>
      </c>
      <c r="R24" s="678">
        <f>'[3]2. Propagácia a marketing'!$AD$5</f>
        <v>0</v>
      </c>
      <c r="S24" s="679">
        <f>'[3]2. Propagácia a marketing'!$AE$5</f>
        <v>0</v>
      </c>
    </row>
    <row r="25" spans="1:19" ht="15.75" x14ac:dyDescent="0.25">
      <c r="A25" s="121"/>
      <c r="B25" s="273">
        <v>2</v>
      </c>
      <c r="C25" s="279" t="s">
        <v>173</v>
      </c>
      <c r="D25" s="259">
        <f t="shared" ref="D25:D31" si="19">SUM(E25:G25)</f>
        <v>4000</v>
      </c>
      <c r="E25" s="257">
        <f>'[1]2. Propagácia a marketing'!$W$7</f>
        <v>4000</v>
      </c>
      <c r="F25" s="257">
        <f>'[1]2. Propagácia a marketing'!$X$7</f>
        <v>0</v>
      </c>
      <c r="G25" s="270">
        <f>'[1]2. Propagácia a marketing'!$Y$7</f>
        <v>0</v>
      </c>
      <c r="H25" s="259">
        <f t="shared" ref="H25:H31" si="20">SUM(I25:K25)</f>
        <v>3336</v>
      </c>
      <c r="I25" s="257">
        <f>'[2]2. Propagácia a marketing'!$W$7</f>
        <v>3336</v>
      </c>
      <c r="J25" s="257">
        <f>'[2]2. Propagácia a marketing'!$X$7</f>
        <v>0</v>
      </c>
      <c r="K25" s="258">
        <f>'[2]2. Propagácia a marketing'!$Y$7</f>
        <v>0</v>
      </c>
      <c r="L25" s="259">
        <f t="shared" ref="L25:L31" si="21">SUM(M25:O25)</f>
        <v>5200</v>
      </c>
      <c r="M25" s="257">
        <f>'[3]2. Propagácia a marketing'!$Z$7</f>
        <v>5200</v>
      </c>
      <c r="N25" s="257">
        <f>'[3]2. Propagácia a marketing'!$AA$7</f>
        <v>0</v>
      </c>
      <c r="O25" s="355">
        <f>'[3]2. Propagácia a marketing'!$AB$7</f>
        <v>0</v>
      </c>
      <c r="P25" s="677">
        <f t="shared" ref="P25:P31" si="22">SUM(Q25:S25)</f>
        <v>3881.3</v>
      </c>
      <c r="Q25" s="678">
        <f>'[3]2. Propagácia a marketing'!$AC$7</f>
        <v>3881.3</v>
      </c>
      <c r="R25" s="678">
        <f>'[3]2. Propagácia a marketing'!$AD$7</f>
        <v>0</v>
      </c>
      <c r="S25" s="679">
        <f>'[3]2. Propagácia a marketing'!$AE$7</f>
        <v>0</v>
      </c>
    </row>
    <row r="26" spans="1:19" ht="15.75" x14ac:dyDescent="0.25">
      <c r="A26" s="121"/>
      <c r="B26" s="273">
        <v>3</v>
      </c>
      <c r="C26" s="274" t="s">
        <v>174</v>
      </c>
      <c r="D26" s="259">
        <f t="shared" si="19"/>
        <v>13322.97</v>
      </c>
      <c r="E26" s="257">
        <f>'[1]2. Propagácia a marketing'!$W$12</f>
        <v>13322.97</v>
      </c>
      <c r="F26" s="257">
        <f>'[1]2. Propagácia a marketing'!$X$12</f>
        <v>0</v>
      </c>
      <c r="G26" s="270">
        <f>'[1]2. Propagácia a marketing'!$Y$12</f>
        <v>0</v>
      </c>
      <c r="H26" s="259">
        <f t="shared" si="20"/>
        <v>14176.03</v>
      </c>
      <c r="I26" s="257">
        <f>'[2]2. Propagácia a marketing'!$W$12</f>
        <v>14176.03</v>
      </c>
      <c r="J26" s="257">
        <f>'[2]2. Propagácia a marketing'!$X$12</f>
        <v>0</v>
      </c>
      <c r="K26" s="258">
        <f>'[2]2. Propagácia a marketing'!$Y$12</f>
        <v>0</v>
      </c>
      <c r="L26" s="259">
        <f t="shared" si="21"/>
        <v>11150</v>
      </c>
      <c r="M26" s="257">
        <f>'[3]2. Propagácia a marketing'!$Z$12</f>
        <v>11150</v>
      </c>
      <c r="N26" s="257">
        <f>'[3]2. Propagácia a marketing'!$AA$12</f>
        <v>0</v>
      </c>
      <c r="O26" s="355">
        <f>'[3]2. Propagácia a marketing'!$AB$12</f>
        <v>0</v>
      </c>
      <c r="P26" s="677">
        <f t="shared" si="22"/>
        <v>11119.25</v>
      </c>
      <c r="Q26" s="678">
        <f>'[3]2. Propagácia a marketing'!$AC$12</f>
        <v>11119.25</v>
      </c>
      <c r="R26" s="678">
        <f>'[3]2. Propagácia a marketing'!$AD$12</f>
        <v>0</v>
      </c>
      <c r="S26" s="679">
        <f>'[3]2. Propagácia a marketing'!$AE$12</f>
        <v>0</v>
      </c>
    </row>
    <row r="27" spans="1:19" ht="15.75" x14ac:dyDescent="0.25">
      <c r="A27" s="121"/>
      <c r="B27" s="273">
        <v>4</v>
      </c>
      <c r="C27" s="274" t="s">
        <v>175</v>
      </c>
      <c r="D27" s="259">
        <f t="shared" si="19"/>
        <v>0</v>
      </c>
      <c r="E27" s="257">
        <f>'[1]2. Propagácia a marketing'!$W$20</f>
        <v>0</v>
      </c>
      <c r="F27" s="257">
        <f>'[1]2. Propagácia a marketing'!$X$20</f>
        <v>0</v>
      </c>
      <c r="G27" s="270">
        <f>'[1]2. Propagácia a marketing'!$Y$20</f>
        <v>0</v>
      </c>
      <c r="H27" s="259">
        <f t="shared" si="20"/>
        <v>0</v>
      </c>
      <c r="I27" s="257">
        <f>'[2]2. Propagácia a marketing'!$W$20</f>
        <v>0</v>
      </c>
      <c r="J27" s="257">
        <f>'[2]2. Propagácia a marketing'!$X$20</f>
        <v>0</v>
      </c>
      <c r="K27" s="258">
        <f>'[2]2. Propagácia a marketing'!$Y$20</f>
        <v>0</v>
      </c>
      <c r="L27" s="259">
        <f t="shared" si="21"/>
        <v>0</v>
      </c>
      <c r="M27" s="257">
        <f>'[3]2. Propagácia a marketing'!$Z$20</f>
        <v>0</v>
      </c>
      <c r="N27" s="257">
        <f>'[3]2. Propagácia a marketing'!$AA$20</f>
        <v>0</v>
      </c>
      <c r="O27" s="355">
        <f>'[3]2. Propagácia a marketing'!$AB$20</f>
        <v>0</v>
      </c>
      <c r="P27" s="677">
        <f t="shared" si="22"/>
        <v>0</v>
      </c>
      <c r="Q27" s="678">
        <f>'[3]2. Propagácia a marketing'!$AC$20</f>
        <v>0</v>
      </c>
      <c r="R27" s="678">
        <f>'[3]2. Propagácia a marketing'!$AD$20</f>
        <v>0</v>
      </c>
      <c r="S27" s="679">
        <f>'[3]2. Propagácia a marketing'!$AE$20</f>
        <v>0</v>
      </c>
    </row>
    <row r="28" spans="1:19" ht="15.75" x14ac:dyDescent="0.25">
      <c r="A28" s="121"/>
      <c r="B28" s="273">
        <v>5</v>
      </c>
      <c r="C28" s="274" t="s">
        <v>176</v>
      </c>
      <c r="D28" s="259">
        <f t="shared" si="19"/>
        <v>0</v>
      </c>
      <c r="E28" s="257">
        <f>'[1]2. Propagácia a marketing'!$W$22</f>
        <v>0</v>
      </c>
      <c r="F28" s="257">
        <f>'[1]2. Propagácia a marketing'!$X$22</f>
        <v>0</v>
      </c>
      <c r="G28" s="270">
        <f>'[1]2. Propagácia a marketing'!$Y$22</f>
        <v>0</v>
      </c>
      <c r="H28" s="259">
        <f t="shared" si="20"/>
        <v>0</v>
      </c>
      <c r="I28" s="257">
        <f>'[2]2. Propagácia a marketing'!$W$22</f>
        <v>0</v>
      </c>
      <c r="J28" s="257">
        <f>'[2]2. Propagácia a marketing'!$X$22</f>
        <v>0</v>
      </c>
      <c r="K28" s="258">
        <f>'[2]2. Propagácia a marketing'!$Y$22</f>
        <v>0</v>
      </c>
      <c r="L28" s="259">
        <f t="shared" si="21"/>
        <v>0</v>
      </c>
      <c r="M28" s="257">
        <f>'[3]2. Propagácia a marketing'!$Z$22</f>
        <v>0</v>
      </c>
      <c r="N28" s="257">
        <f>'[3]2. Propagácia a marketing'!$AA$22</f>
        <v>0</v>
      </c>
      <c r="O28" s="355">
        <f>'[3]2. Propagácia a marketing'!$AB$22</f>
        <v>0</v>
      </c>
      <c r="P28" s="677">
        <f t="shared" si="22"/>
        <v>0</v>
      </c>
      <c r="Q28" s="678">
        <f>'[3]2. Propagácia a marketing'!$AC$22</f>
        <v>0</v>
      </c>
      <c r="R28" s="678">
        <f>'[3]2. Propagácia a marketing'!$AD$22</f>
        <v>0</v>
      </c>
      <c r="S28" s="679">
        <f>'[3]2. Propagácia a marketing'!$AE$22</f>
        <v>0</v>
      </c>
    </row>
    <row r="29" spans="1:19" ht="15.75" x14ac:dyDescent="0.25">
      <c r="A29" s="121"/>
      <c r="B29" s="273">
        <v>6</v>
      </c>
      <c r="C29" s="274" t="s">
        <v>177</v>
      </c>
      <c r="D29" s="259">
        <f t="shared" si="19"/>
        <v>0</v>
      </c>
      <c r="E29" s="257">
        <f>'[1]2. Propagácia a marketing'!$W$25</f>
        <v>0</v>
      </c>
      <c r="F29" s="257">
        <f>'[1]2. Propagácia a marketing'!$X$25</f>
        <v>0</v>
      </c>
      <c r="G29" s="270">
        <f>'[1]2. Propagácia a marketing'!$Y$25</f>
        <v>0</v>
      </c>
      <c r="H29" s="259">
        <f t="shared" si="20"/>
        <v>0</v>
      </c>
      <c r="I29" s="257">
        <f>'[2]2. Propagácia a marketing'!$W$25</f>
        <v>0</v>
      </c>
      <c r="J29" s="257">
        <f>'[2]2. Propagácia a marketing'!$X$25</f>
        <v>0</v>
      </c>
      <c r="K29" s="258">
        <f>'[2]2. Propagácia a marketing'!$Y$25</f>
        <v>0</v>
      </c>
      <c r="L29" s="259">
        <f t="shared" si="21"/>
        <v>0</v>
      </c>
      <c r="M29" s="257">
        <f>'[3]2. Propagácia a marketing'!$Z$25</f>
        <v>0</v>
      </c>
      <c r="N29" s="257">
        <f>'[3]2. Propagácia a marketing'!$AA$25</f>
        <v>0</v>
      </c>
      <c r="O29" s="355">
        <f>'[3]2. Propagácia a marketing'!$AB$25</f>
        <v>0</v>
      </c>
      <c r="P29" s="677">
        <f t="shared" si="22"/>
        <v>0</v>
      </c>
      <c r="Q29" s="678">
        <f>'[3]2. Propagácia a marketing'!$AC$25</f>
        <v>0</v>
      </c>
      <c r="R29" s="678">
        <f>'[3]2. Propagácia a marketing'!$AD$25</f>
        <v>0</v>
      </c>
      <c r="S29" s="679">
        <f>'[3]2. Propagácia a marketing'!$AE$25</f>
        <v>0</v>
      </c>
    </row>
    <row r="30" spans="1:19" ht="15.75" x14ac:dyDescent="0.25">
      <c r="A30" s="121"/>
      <c r="B30" s="273">
        <v>7</v>
      </c>
      <c r="C30" s="274" t="s">
        <v>178</v>
      </c>
      <c r="D30" s="259">
        <f t="shared" si="19"/>
        <v>4725</v>
      </c>
      <c r="E30" s="257">
        <f>'[1]2. Propagácia a marketing'!$W$27</f>
        <v>4725</v>
      </c>
      <c r="F30" s="257">
        <f>'[1]2. Propagácia a marketing'!$X$27</f>
        <v>0</v>
      </c>
      <c r="G30" s="270">
        <f>'[1]2. Propagácia a marketing'!$Y$27</f>
        <v>0</v>
      </c>
      <c r="H30" s="259">
        <f t="shared" si="20"/>
        <v>1575</v>
      </c>
      <c r="I30" s="257">
        <f>'[2]2. Propagácia a marketing'!$W$27</f>
        <v>1575</v>
      </c>
      <c r="J30" s="257">
        <f>'[2]2. Propagácia a marketing'!$X$27</f>
        <v>0</v>
      </c>
      <c r="K30" s="258">
        <f>'[2]2. Propagácia a marketing'!$Y$27</f>
        <v>0</v>
      </c>
      <c r="L30" s="259">
        <f t="shared" si="21"/>
        <v>2210</v>
      </c>
      <c r="M30" s="257">
        <f>'[3]2. Propagácia a marketing'!$Z$27</f>
        <v>2210</v>
      </c>
      <c r="N30" s="257">
        <f>'[3]2. Propagácia a marketing'!$AA$27</f>
        <v>0</v>
      </c>
      <c r="O30" s="355">
        <f>'[3]2. Propagácia a marketing'!$AB$27</f>
        <v>0</v>
      </c>
      <c r="P30" s="677">
        <f t="shared" si="22"/>
        <v>2208.2600000000002</v>
      </c>
      <c r="Q30" s="678">
        <f>'[3]2. Propagácia a marketing'!$AC$27</f>
        <v>2208.2600000000002</v>
      </c>
      <c r="R30" s="678">
        <f>'[3]2. Propagácia a marketing'!$AD$27</f>
        <v>0</v>
      </c>
      <c r="S30" s="679">
        <f>'[3]2. Propagácia a marketing'!$AE$27</f>
        <v>0</v>
      </c>
    </row>
    <row r="31" spans="1:19" ht="15.75" outlineLevel="1" x14ac:dyDescent="0.25">
      <c r="A31" s="121"/>
      <c r="B31" s="273">
        <v>8</v>
      </c>
      <c r="C31" s="274" t="s">
        <v>432</v>
      </c>
      <c r="D31" s="259">
        <f t="shared" si="19"/>
        <v>8000</v>
      </c>
      <c r="E31" s="257">
        <f>'[1]2. Propagácia a marketing'!$W$29</f>
        <v>8000</v>
      </c>
      <c r="F31" s="257">
        <f>'[1]2. Propagácia a marketing'!$X$29</f>
        <v>0</v>
      </c>
      <c r="G31" s="270">
        <f>'[1]2. Propagácia a marketing'!$Y$29</f>
        <v>0</v>
      </c>
      <c r="H31" s="259">
        <f t="shared" si="20"/>
        <v>8000</v>
      </c>
      <c r="I31" s="257">
        <f>'[2]2. Propagácia a marketing'!$W$29</f>
        <v>8000</v>
      </c>
      <c r="J31" s="257">
        <f>'[2]2. Propagácia a marketing'!$X$29</f>
        <v>0</v>
      </c>
      <c r="K31" s="258">
        <f>'[2]2. Propagácia a marketing'!$Y$29</f>
        <v>0</v>
      </c>
      <c r="L31" s="259">
        <f t="shared" si="21"/>
        <v>7000</v>
      </c>
      <c r="M31" s="257">
        <f>'[3]2. Propagácia a marketing'!$Z$29</f>
        <v>7000</v>
      </c>
      <c r="N31" s="257">
        <f>'[3]2. Propagácia a marketing'!$AA$29</f>
        <v>0</v>
      </c>
      <c r="O31" s="355">
        <f>'[3]2. Propagácia a marketing'!$AB$29</f>
        <v>0</v>
      </c>
      <c r="P31" s="677">
        <f t="shared" si="22"/>
        <v>7000</v>
      </c>
      <c r="Q31" s="678">
        <f>'[3]2. Propagácia a marketing'!$AC$29</f>
        <v>7000</v>
      </c>
      <c r="R31" s="678">
        <f>'[3]2. Propagácia a marketing'!$AD$29</f>
        <v>0</v>
      </c>
      <c r="S31" s="679">
        <f>'[3]2. Propagácia a marketing'!$AE$29</f>
        <v>0</v>
      </c>
    </row>
    <row r="32" spans="1:19" ht="15.75" x14ac:dyDescent="0.25">
      <c r="B32" s="273" t="s">
        <v>180</v>
      </c>
      <c r="C32" s="274" t="s">
        <v>181</v>
      </c>
      <c r="D32" s="259">
        <f t="shared" ref="D32:G32" si="23">SUM(D33:D34)</f>
        <v>8249.58</v>
      </c>
      <c r="E32" s="257">
        <f t="shared" si="23"/>
        <v>8249.58</v>
      </c>
      <c r="F32" s="257">
        <f t="shared" si="23"/>
        <v>0</v>
      </c>
      <c r="G32" s="270">
        <f t="shared" si="23"/>
        <v>0</v>
      </c>
      <c r="H32" s="259">
        <f t="shared" ref="H32:K32" si="24">SUM(H33:H34)</f>
        <v>8286.25</v>
      </c>
      <c r="I32" s="257">
        <f t="shared" si="24"/>
        <v>8286.25</v>
      </c>
      <c r="J32" s="257">
        <f t="shared" si="24"/>
        <v>0</v>
      </c>
      <c r="K32" s="258">
        <f t="shared" si="24"/>
        <v>0</v>
      </c>
      <c r="L32" s="259">
        <f t="shared" ref="L32:S32" si="25">SUM(L33:L34)</f>
        <v>20099</v>
      </c>
      <c r="M32" s="257">
        <f t="shared" si="25"/>
        <v>20099</v>
      </c>
      <c r="N32" s="257">
        <f t="shared" si="25"/>
        <v>0</v>
      </c>
      <c r="O32" s="355">
        <f t="shared" si="25"/>
        <v>0</v>
      </c>
      <c r="P32" s="677">
        <f t="shared" si="25"/>
        <v>12863.94</v>
      </c>
      <c r="Q32" s="678">
        <f t="shared" si="25"/>
        <v>12863.94</v>
      </c>
      <c r="R32" s="678">
        <f t="shared" si="25"/>
        <v>0</v>
      </c>
      <c r="S32" s="679">
        <f t="shared" si="25"/>
        <v>0</v>
      </c>
    </row>
    <row r="33" spans="1:19" ht="15.75" x14ac:dyDescent="0.25">
      <c r="B33" s="273">
        <v>1</v>
      </c>
      <c r="C33" s="274" t="s">
        <v>182</v>
      </c>
      <c r="D33" s="259">
        <f>SUM(E33:G33)</f>
        <v>6049.58</v>
      </c>
      <c r="E33" s="257">
        <f>'[1]2. Propagácia a marketing'!$W$32</f>
        <v>6049.58</v>
      </c>
      <c r="F33" s="257">
        <f>'[1]2. Propagácia a marketing'!$X$32</f>
        <v>0</v>
      </c>
      <c r="G33" s="270">
        <f>'[1]2. Propagácia a marketing'!$Y$32</f>
        <v>0</v>
      </c>
      <c r="H33" s="259">
        <f>SUM(I33:K33)</f>
        <v>8286.25</v>
      </c>
      <c r="I33" s="257">
        <f>'[2]2. Propagácia a marketing'!$W$32</f>
        <v>8286.25</v>
      </c>
      <c r="J33" s="257">
        <f>'[2]2. Propagácia a marketing'!$X$32</f>
        <v>0</v>
      </c>
      <c r="K33" s="258">
        <f>'[2]2. Propagácia a marketing'!$Y$32</f>
        <v>0</v>
      </c>
      <c r="L33" s="259">
        <f>SUM(M33:O33)</f>
        <v>18599</v>
      </c>
      <c r="M33" s="257">
        <f>'[3]2. Propagácia a marketing'!$Z$32</f>
        <v>18599</v>
      </c>
      <c r="N33" s="257">
        <f>'[3]2. Propagácia a marketing'!$AA$32</f>
        <v>0</v>
      </c>
      <c r="O33" s="355">
        <f>'[3]2. Propagácia a marketing'!$AB$32</f>
        <v>0</v>
      </c>
      <c r="P33" s="677">
        <f>SUM(Q33:S33)</f>
        <v>11793.94</v>
      </c>
      <c r="Q33" s="678">
        <f>'[3]2. Propagácia a marketing'!$AC$32</f>
        <v>11793.94</v>
      </c>
      <c r="R33" s="678">
        <f>'[3]2. Propagácia a marketing'!$AD$32</f>
        <v>0</v>
      </c>
      <c r="S33" s="679">
        <f>'[3]2. Propagácia a marketing'!$AE$32</f>
        <v>0</v>
      </c>
    </row>
    <row r="34" spans="1:19" ht="15.75" x14ac:dyDescent="0.25">
      <c r="B34" s="273">
        <v>2</v>
      </c>
      <c r="C34" s="274" t="s">
        <v>183</v>
      </c>
      <c r="D34" s="259">
        <f>SUM(E34:G34)</f>
        <v>2200</v>
      </c>
      <c r="E34" s="257">
        <f>'[1]2. Propagácia a marketing'!$W$46</f>
        <v>2200</v>
      </c>
      <c r="F34" s="257">
        <f>'[1]2. Propagácia a marketing'!$X$46</f>
        <v>0</v>
      </c>
      <c r="G34" s="270">
        <f>'[1]2. Propagácia a marketing'!$Y$46</f>
        <v>0</v>
      </c>
      <c r="H34" s="259">
        <f>SUM(I34:K34)</f>
        <v>0</v>
      </c>
      <c r="I34" s="257">
        <f>'[2]2. Propagácia a marketing'!$W$46</f>
        <v>0</v>
      </c>
      <c r="J34" s="257">
        <f>'[2]2. Propagácia a marketing'!$X$46</f>
        <v>0</v>
      </c>
      <c r="K34" s="258">
        <f>'[2]2. Propagácia a marketing'!$Y$46</f>
        <v>0</v>
      </c>
      <c r="L34" s="259">
        <f>SUM(M34:O34)</f>
        <v>1500</v>
      </c>
      <c r="M34" s="257">
        <f>'[3]2. Propagácia a marketing'!$Z$46</f>
        <v>1500</v>
      </c>
      <c r="N34" s="257">
        <f>'[3]2. Propagácia a marketing'!$AA$46</f>
        <v>0</v>
      </c>
      <c r="O34" s="355">
        <f>'[3]2. Propagácia a marketing'!$AB$46</f>
        <v>0</v>
      </c>
      <c r="P34" s="677">
        <f>SUM(Q34:S34)</f>
        <v>1070</v>
      </c>
      <c r="Q34" s="678">
        <f>'[3]2. Propagácia a marketing'!$AC$46</f>
        <v>1070</v>
      </c>
      <c r="R34" s="678">
        <f>'[3]2. Propagácia a marketing'!$AD$46</f>
        <v>0</v>
      </c>
      <c r="S34" s="679">
        <f>'[3]2. Propagácia a marketing'!$AE$46</f>
        <v>0</v>
      </c>
    </row>
    <row r="35" spans="1:19" ht="16.5" thickBot="1" x14ac:dyDescent="0.3">
      <c r="A35" s="124"/>
      <c r="B35" s="275" t="s">
        <v>184</v>
      </c>
      <c r="C35" s="276" t="s">
        <v>185</v>
      </c>
      <c r="D35" s="268">
        <f>SUM(E35:G35)</f>
        <v>3904.8700000000003</v>
      </c>
      <c r="E35" s="269">
        <f>'[1]2. Propagácia a marketing'!$W$51</f>
        <v>3904.8700000000003</v>
      </c>
      <c r="F35" s="269">
        <f>'[1]2. Propagácia a marketing'!$X$51</f>
        <v>0</v>
      </c>
      <c r="G35" s="360">
        <f>'[1]2. Propagácia a marketing'!$Y$51</f>
        <v>0</v>
      </c>
      <c r="H35" s="268">
        <f>SUM(I35:K35)</f>
        <v>4791.32</v>
      </c>
      <c r="I35" s="269">
        <f>'[2]2. Propagácia a marketing'!$W$51</f>
        <v>4791.32</v>
      </c>
      <c r="J35" s="269">
        <f>'[2]2. Propagácia a marketing'!$X$51</f>
        <v>0</v>
      </c>
      <c r="K35" s="303">
        <f>'[2]2. Propagácia a marketing'!$Y$51</f>
        <v>0</v>
      </c>
      <c r="L35" s="268">
        <f>SUM(M35:O35)</f>
        <v>5501</v>
      </c>
      <c r="M35" s="269">
        <f>'[3]2. Propagácia a marketing'!$Z$51</f>
        <v>5501</v>
      </c>
      <c r="N35" s="269">
        <f>'[3]2. Propagácia a marketing'!$AA$51</f>
        <v>0</v>
      </c>
      <c r="O35" s="479">
        <f>'[3]2. Propagácia a marketing'!$AB$51</f>
        <v>0</v>
      </c>
      <c r="P35" s="680">
        <f>SUM(Q35:S35)</f>
        <v>4412.71</v>
      </c>
      <c r="Q35" s="681">
        <f>'[3]2. Propagácia a marketing'!$AC$51</f>
        <v>4412.71</v>
      </c>
      <c r="R35" s="681">
        <f>'[3]2. Propagácia a marketing'!$AD$51</f>
        <v>0</v>
      </c>
      <c r="S35" s="682">
        <f>'[3]2. Propagácia a marketing'!$AE$51</f>
        <v>0</v>
      </c>
    </row>
    <row r="36" spans="1:19" s="123" customFormat="1" ht="15.75" x14ac:dyDescent="0.25">
      <c r="A36" s="111"/>
      <c r="B36" s="277" t="s">
        <v>186</v>
      </c>
      <c r="C36" s="407"/>
      <c r="D36" s="265">
        <f t="shared" ref="D36:S36" si="26">D37+D38+D39+D44+D45</f>
        <v>277347.62000000005</v>
      </c>
      <c r="E36" s="266">
        <f t="shared" si="26"/>
        <v>257695.9500000001</v>
      </c>
      <c r="F36" s="266">
        <f t="shared" si="26"/>
        <v>19651.669999999998</v>
      </c>
      <c r="G36" s="341">
        <f t="shared" si="26"/>
        <v>0</v>
      </c>
      <c r="H36" s="265">
        <f t="shared" si="26"/>
        <v>263702.00000000006</v>
      </c>
      <c r="I36" s="266">
        <f t="shared" si="26"/>
        <v>216960.2</v>
      </c>
      <c r="J36" s="266">
        <f t="shared" si="26"/>
        <v>46741.8</v>
      </c>
      <c r="K36" s="267">
        <f t="shared" si="26"/>
        <v>0</v>
      </c>
      <c r="L36" s="265">
        <f t="shared" si="26"/>
        <v>497814</v>
      </c>
      <c r="M36" s="266">
        <f t="shared" si="26"/>
        <v>358914</v>
      </c>
      <c r="N36" s="266">
        <f t="shared" si="26"/>
        <v>138900</v>
      </c>
      <c r="O36" s="354">
        <f t="shared" si="26"/>
        <v>0</v>
      </c>
      <c r="P36" s="674">
        <f t="shared" si="26"/>
        <v>443789.25999999995</v>
      </c>
      <c r="Q36" s="675">
        <f t="shared" si="26"/>
        <v>305033.25999999995</v>
      </c>
      <c r="R36" s="675">
        <f t="shared" si="26"/>
        <v>138756</v>
      </c>
      <c r="S36" s="676">
        <f t="shared" si="26"/>
        <v>0</v>
      </c>
    </row>
    <row r="37" spans="1:19" ht="15.75" x14ac:dyDescent="0.25">
      <c r="A37" s="121"/>
      <c r="B37" s="273" t="s">
        <v>187</v>
      </c>
      <c r="C37" s="274" t="s">
        <v>188</v>
      </c>
      <c r="D37" s="259">
        <f>SUM(E37:G37)</f>
        <v>95892.89</v>
      </c>
      <c r="E37" s="257">
        <f>'[1]3.Interné služby'!$W$4</f>
        <v>87313.47</v>
      </c>
      <c r="F37" s="257">
        <f>'[1]3.Interné služby'!$X$4</f>
        <v>8579.42</v>
      </c>
      <c r="G37" s="270">
        <f>'[1]3.Interné služby'!$Y$4</f>
        <v>0</v>
      </c>
      <c r="H37" s="259">
        <f>SUM(I37:K37)</f>
        <v>106773.95000000001</v>
      </c>
      <c r="I37" s="257">
        <f>'[2]3.Interné služby'!$W$4</f>
        <v>60032.15</v>
      </c>
      <c r="J37" s="257">
        <f>'[2]3.Interné služby'!$X$4</f>
        <v>46741.8</v>
      </c>
      <c r="K37" s="258">
        <f>'[2]3.Interné služby'!$Y$4</f>
        <v>0</v>
      </c>
      <c r="L37" s="259">
        <f>SUM(M37:O37)</f>
        <v>238502</v>
      </c>
      <c r="M37" s="257">
        <f>'[3]3.Interné služby'!$Z$4</f>
        <v>99602</v>
      </c>
      <c r="N37" s="257">
        <f>'[3]3.Interné služby'!$AA$4</f>
        <v>138900</v>
      </c>
      <c r="O37" s="355">
        <f>'[3]3.Interné služby'!$AB$4</f>
        <v>0</v>
      </c>
      <c r="P37" s="677">
        <f>SUM(Q37:S37)</f>
        <v>233355.6</v>
      </c>
      <c r="Q37" s="678">
        <f>'[3]3.Interné služby'!$AC$4</f>
        <v>94599.6</v>
      </c>
      <c r="R37" s="678">
        <f>'[3]3.Interné služby'!$AD$4</f>
        <v>138756</v>
      </c>
      <c r="S37" s="679">
        <f>'[3]3.Interné služby'!$AE$4</f>
        <v>0</v>
      </c>
    </row>
    <row r="38" spans="1:19" ht="15.75" x14ac:dyDescent="0.25">
      <c r="A38" s="124"/>
      <c r="B38" s="273" t="s">
        <v>189</v>
      </c>
      <c r="C38" s="274" t="s">
        <v>190</v>
      </c>
      <c r="D38" s="259">
        <f>SUM(E38:G38)</f>
        <v>5183.54</v>
      </c>
      <c r="E38" s="257">
        <f>'[1]3.Interné služby'!$W$20</f>
        <v>5183.54</v>
      </c>
      <c r="F38" s="257">
        <f>'[1]3.Interné služby'!$X$20</f>
        <v>0</v>
      </c>
      <c r="G38" s="270">
        <f>'[1]3.Interné služby'!$Y$20</f>
        <v>0</v>
      </c>
      <c r="H38" s="259">
        <f>SUM(I38:K38)</f>
        <v>522</v>
      </c>
      <c r="I38" s="257">
        <f>'[2]3.Interné služby'!$W$20</f>
        <v>522</v>
      </c>
      <c r="J38" s="257">
        <f>'[2]3.Interné služby'!$X$20</f>
        <v>0</v>
      </c>
      <c r="K38" s="258">
        <f>'[2]3.Interné služby'!$Y$20</f>
        <v>0</v>
      </c>
      <c r="L38" s="259">
        <f>SUM(M38:O38)</f>
        <v>4000</v>
      </c>
      <c r="M38" s="257">
        <f>'[3]3.Interné služby'!$Z$22</f>
        <v>4000</v>
      </c>
      <c r="N38" s="257">
        <f>'[3]3.Interné služby'!$AA$22</f>
        <v>0</v>
      </c>
      <c r="O38" s="355">
        <f>'[3]3.Interné služby'!$AB$22</f>
        <v>0</v>
      </c>
      <c r="P38" s="677">
        <f>SUM(Q38:S38)</f>
        <v>222.33</v>
      </c>
      <c r="Q38" s="678">
        <f>'[3]3.Interné služby'!$AC$22</f>
        <v>222.33</v>
      </c>
      <c r="R38" s="678">
        <f>'[3]3.Interné služby'!$AD$22</f>
        <v>0</v>
      </c>
      <c r="S38" s="679">
        <f>'[3]3.Interné služby'!$AE$22</f>
        <v>0</v>
      </c>
    </row>
    <row r="39" spans="1:19" ht="15.75" x14ac:dyDescent="0.25">
      <c r="B39" s="273" t="s">
        <v>191</v>
      </c>
      <c r="C39" s="274" t="s">
        <v>192</v>
      </c>
      <c r="D39" s="259">
        <f t="shared" ref="D39:G39" si="27">SUM(D40:D43)</f>
        <v>170755.71000000008</v>
      </c>
      <c r="E39" s="257">
        <f t="shared" si="27"/>
        <v>159683.46000000008</v>
      </c>
      <c r="F39" s="257">
        <f t="shared" si="27"/>
        <v>11072.25</v>
      </c>
      <c r="G39" s="270">
        <f t="shared" si="27"/>
        <v>0</v>
      </c>
      <c r="H39" s="259">
        <f t="shared" ref="H39:K39" si="28">SUM(H40:H43)</f>
        <v>149828.47000000003</v>
      </c>
      <c r="I39" s="257">
        <f t="shared" si="28"/>
        <v>149828.47000000003</v>
      </c>
      <c r="J39" s="257">
        <f t="shared" si="28"/>
        <v>0</v>
      </c>
      <c r="K39" s="258">
        <f t="shared" si="28"/>
        <v>0</v>
      </c>
      <c r="L39" s="259">
        <f t="shared" ref="L39:S39" si="29">SUM(L40:L43)</f>
        <v>245362</v>
      </c>
      <c r="M39" s="257">
        <f t="shared" si="29"/>
        <v>245362</v>
      </c>
      <c r="N39" s="257">
        <f t="shared" si="29"/>
        <v>0</v>
      </c>
      <c r="O39" s="355">
        <f t="shared" si="29"/>
        <v>0</v>
      </c>
      <c r="P39" s="677">
        <f t="shared" si="29"/>
        <v>201606.97999999998</v>
      </c>
      <c r="Q39" s="678">
        <f t="shared" si="29"/>
        <v>201606.97999999998</v>
      </c>
      <c r="R39" s="678">
        <f t="shared" si="29"/>
        <v>0</v>
      </c>
      <c r="S39" s="679">
        <f t="shared" si="29"/>
        <v>0</v>
      </c>
    </row>
    <row r="40" spans="1:19" ht="15.75" x14ac:dyDescent="0.25">
      <c r="B40" s="273">
        <v>1</v>
      </c>
      <c r="C40" s="274" t="s">
        <v>193</v>
      </c>
      <c r="D40" s="259">
        <f t="shared" ref="D40:D45" si="30">SUM(E40:G40)</f>
        <v>375.28</v>
      </c>
      <c r="E40" s="257">
        <f>'[1]3.Interné služby'!$W$26</f>
        <v>375.28</v>
      </c>
      <c r="F40" s="257">
        <f>'[1]3.Interné služby'!$X$26</f>
        <v>0</v>
      </c>
      <c r="G40" s="270">
        <f>'[1]3.Interné služby'!$Y$26</f>
        <v>0</v>
      </c>
      <c r="H40" s="259">
        <f t="shared" ref="H40:H45" si="31">SUM(I40:K40)</f>
        <v>132</v>
      </c>
      <c r="I40" s="257">
        <f>'[2]3.Interné služby'!$W$26</f>
        <v>132</v>
      </c>
      <c r="J40" s="257">
        <f>'[2]3.Interné služby'!$X$26</f>
        <v>0</v>
      </c>
      <c r="K40" s="258">
        <f>'[2]3.Interné služby'!$Y$26</f>
        <v>0</v>
      </c>
      <c r="L40" s="259">
        <f t="shared" ref="L40:L45" si="32">SUM(M40:O40)</f>
        <v>800</v>
      </c>
      <c r="M40" s="257">
        <f>'[3]3.Interné služby'!$Z$28</f>
        <v>800</v>
      </c>
      <c r="N40" s="257">
        <f>'[3]3.Interné služby'!$AA$28</f>
        <v>0</v>
      </c>
      <c r="O40" s="355">
        <f>'[3]3.Interné služby'!$AB$28</f>
        <v>0</v>
      </c>
      <c r="P40" s="677">
        <f t="shared" ref="P40:P45" si="33">SUM(Q40:S40)</f>
        <v>57</v>
      </c>
      <c r="Q40" s="678">
        <f>'[3]3.Interné služby'!$AC$28</f>
        <v>57</v>
      </c>
      <c r="R40" s="678">
        <f>'[3]3.Interné služby'!$AD$28</f>
        <v>0</v>
      </c>
      <c r="S40" s="679">
        <f>'[3]3.Interné služby'!$AE$28</f>
        <v>0</v>
      </c>
    </row>
    <row r="41" spans="1:19" ht="15.75" x14ac:dyDescent="0.25">
      <c r="B41" s="273">
        <v>2</v>
      </c>
      <c r="C41" s="274" t="s">
        <v>194</v>
      </c>
      <c r="D41" s="259">
        <f t="shared" si="30"/>
        <v>10982.800000000001</v>
      </c>
      <c r="E41" s="257">
        <f>'[1]3.Interné služby'!$W$31</f>
        <v>10982.800000000001</v>
      </c>
      <c r="F41" s="257">
        <f>'[1]3.Interné služby'!$X$31</f>
        <v>0</v>
      </c>
      <c r="G41" s="270">
        <f>'[1]3.Interné služby'!$Y$31</f>
        <v>0</v>
      </c>
      <c r="H41" s="259">
        <f t="shared" si="31"/>
        <v>9987.0400000000009</v>
      </c>
      <c r="I41" s="257">
        <f>'[2]3.Interné služby'!$W$31</f>
        <v>9987.0400000000009</v>
      </c>
      <c r="J41" s="257">
        <f>'[2]3.Interné služby'!$X$31</f>
        <v>0</v>
      </c>
      <c r="K41" s="258">
        <f>'[2]3.Interné služby'!$Y$31</f>
        <v>0</v>
      </c>
      <c r="L41" s="259">
        <f t="shared" si="32"/>
        <v>10200</v>
      </c>
      <c r="M41" s="257">
        <f>'[3]3.Interné služby'!$Z$33</f>
        <v>10200</v>
      </c>
      <c r="N41" s="257">
        <f>'[3]3.Interné služby'!$AA$33</f>
        <v>0</v>
      </c>
      <c r="O41" s="355">
        <f>'[3]3.Interné služby'!$AB$33</f>
        <v>0</v>
      </c>
      <c r="P41" s="677">
        <f t="shared" si="33"/>
        <v>7203.11</v>
      </c>
      <c r="Q41" s="678">
        <f>'[3]3.Interné služby'!$AC$33</f>
        <v>7203.11</v>
      </c>
      <c r="R41" s="678">
        <f>'[3]3.Interné služby'!$AD$33</f>
        <v>0</v>
      </c>
      <c r="S41" s="679">
        <f>'[3]3.Interné služby'!$AE$33</f>
        <v>0</v>
      </c>
    </row>
    <row r="42" spans="1:19" ht="15.75" x14ac:dyDescent="0.25">
      <c r="B42" s="273">
        <v>3</v>
      </c>
      <c r="C42" s="274" t="s">
        <v>195</v>
      </c>
      <c r="D42" s="259">
        <f t="shared" si="30"/>
        <v>147025.38000000006</v>
      </c>
      <c r="E42" s="257">
        <f>'[1]3.Interné služby'!$W$34</f>
        <v>147025.38000000006</v>
      </c>
      <c r="F42" s="257">
        <f>'[1]3.Interné služby'!$X$34</f>
        <v>0</v>
      </c>
      <c r="G42" s="270">
        <f>'[1]3.Interné služby'!$Y$34</f>
        <v>0</v>
      </c>
      <c r="H42" s="259">
        <f t="shared" si="31"/>
        <v>138909.43000000002</v>
      </c>
      <c r="I42" s="257">
        <f>'[2]3.Interné služby'!$W$34</f>
        <v>138909.43000000002</v>
      </c>
      <c r="J42" s="257">
        <f>'[2]3.Interné služby'!$X$34</f>
        <v>0</v>
      </c>
      <c r="K42" s="258">
        <f>'[2]3.Interné služby'!$Y$34</f>
        <v>0</v>
      </c>
      <c r="L42" s="259">
        <f t="shared" si="32"/>
        <v>232362</v>
      </c>
      <c r="M42" s="257">
        <f>'[3]3.Interné služby'!$Z$36</f>
        <v>232362</v>
      </c>
      <c r="N42" s="257">
        <f>'[3]3.Interné služby'!$AA$36</f>
        <v>0</v>
      </c>
      <c r="O42" s="355">
        <f>'[3]3.Interné služby'!$AB$36</f>
        <v>0</v>
      </c>
      <c r="P42" s="677">
        <f t="shared" si="33"/>
        <v>194080.37</v>
      </c>
      <c r="Q42" s="678">
        <f>'[3]3.Interné služby'!$AC$36</f>
        <v>194080.37</v>
      </c>
      <c r="R42" s="678">
        <f>'[3]3.Interné služby'!$AD$36</f>
        <v>0</v>
      </c>
      <c r="S42" s="679">
        <f>'[3]3.Interné služby'!$AE$36</f>
        <v>0</v>
      </c>
    </row>
    <row r="43" spans="1:19" ht="15.75" x14ac:dyDescent="0.25">
      <c r="B43" s="273">
        <v>4</v>
      </c>
      <c r="C43" s="274" t="s">
        <v>196</v>
      </c>
      <c r="D43" s="259">
        <f t="shared" si="30"/>
        <v>12372.25</v>
      </c>
      <c r="E43" s="257">
        <f>'[1]3.Interné služby'!$W$84</f>
        <v>1300</v>
      </c>
      <c r="F43" s="257">
        <f>'[1]3.Interné služby'!$X$84</f>
        <v>11072.25</v>
      </c>
      <c r="G43" s="270">
        <f>'[1]3.Interné služby'!$Y$84</f>
        <v>0</v>
      </c>
      <c r="H43" s="259">
        <f t="shared" si="31"/>
        <v>800</v>
      </c>
      <c r="I43" s="257">
        <f>'[2]3.Interné služby'!$W$84</f>
        <v>800</v>
      </c>
      <c r="J43" s="257">
        <f>'[2]3.Interné služby'!$X$84</f>
        <v>0</v>
      </c>
      <c r="K43" s="258">
        <f>'[2]3.Interné služby'!$Y$84</f>
        <v>0</v>
      </c>
      <c r="L43" s="259">
        <f t="shared" si="32"/>
        <v>2000</v>
      </c>
      <c r="M43" s="257">
        <f>'[3]3.Interné služby'!$Z$92</f>
        <v>2000</v>
      </c>
      <c r="N43" s="257">
        <f>'[3]3.Interné služby'!$AA$92</f>
        <v>0</v>
      </c>
      <c r="O43" s="355">
        <f>'[3]3.Interné služby'!$AB$92</f>
        <v>0</v>
      </c>
      <c r="P43" s="677">
        <f t="shared" si="33"/>
        <v>266.5</v>
      </c>
      <c r="Q43" s="678">
        <f>'[3]3.Interné služby'!$AC$92</f>
        <v>266.5</v>
      </c>
      <c r="R43" s="678">
        <f>'[3]3.Interné služby'!$AD$92</f>
        <v>0</v>
      </c>
      <c r="S43" s="679">
        <f>'[3]3.Interné služby'!$AE$92</f>
        <v>0</v>
      </c>
    </row>
    <row r="44" spans="1:19" ht="15.75" x14ac:dyDescent="0.25">
      <c r="B44" s="273" t="s">
        <v>197</v>
      </c>
      <c r="C44" s="274" t="s">
        <v>198</v>
      </c>
      <c r="D44" s="259">
        <f t="shared" si="30"/>
        <v>4965.4799999999996</v>
      </c>
      <c r="E44" s="257">
        <f>'[1]3.Interné služby'!$W$89</f>
        <v>4965.4799999999996</v>
      </c>
      <c r="F44" s="257">
        <f>'[1]3.Interné služby'!$X$89</f>
        <v>0</v>
      </c>
      <c r="G44" s="270">
        <f>'[1]3.Interné služby'!$Y$89</f>
        <v>0</v>
      </c>
      <c r="H44" s="259">
        <f t="shared" si="31"/>
        <v>6577.58</v>
      </c>
      <c r="I44" s="257">
        <f>'[2]3.Interné služby'!$W$89</f>
        <v>6577.58</v>
      </c>
      <c r="J44" s="257">
        <f>'[2]3.Interné služby'!$X$89</f>
        <v>0</v>
      </c>
      <c r="K44" s="258">
        <f>'[2]3.Interné služby'!$Y$89</f>
        <v>0</v>
      </c>
      <c r="L44" s="259">
        <f t="shared" si="32"/>
        <v>9400</v>
      </c>
      <c r="M44" s="257">
        <f>'[3]3.Interné služby'!$Z$97</f>
        <v>9400</v>
      </c>
      <c r="N44" s="257">
        <f>'[3]3.Interné služby'!$AA$97</f>
        <v>0</v>
      </c>
      <c r="O44" s="355">
        <f>'[3]3.Interné služby'!$AB$97</f>
        <v>0</v>
      </c>
      <c r="P44" s="677">
        <f t="shared" si="33"/>
        <v>8604.35</v>
      </c>
      <c r="Q44" s="678">
        <f>'[3]3.Interné služby'!$AC$97</f>
        <v>8604.35</v>
      </c>
      <c r="R44" s="678">
        <f>'[3]3.Interné služby'!$AD$97</f>
        <v>0</v>
      </c>
      <c r="S44" s="679">
        <f>'[3]3.Interné služby'!$AE$97</f>
        <v>0</v>
      </c>
    </row>
    <row r="45" spans="1:19" ht="16.5" thickBot="1" x14ac:dyDescent="0.3">
      <c r="B45" s="280" t="s">
        <v>199</v>
      </c>
      <c r="C45" s="276" t="s">
        <v>200</v>
      </c>
      <c r="D45" s="268">
        <f t="shared" si="30"/>
        <v>550</v>
      </c>
      <c r="E45" s="269">
        <f>'[1]3.Interné služby'!$W$95</f>
        <v>550</v>
      </c>
      <c r="F45" s="269">
        <f>'[1]3.Interné služby'!$X$95</f>
        <v>0</v>
      </c>
      <c r="G45" s="360">
        <f>'[1]3.Interné služby'!$Y$95</f>
        <v>0</v>
      </c>
      <c r="H45" s="268">
        <f t="shared" si="31"/>
        <v>0</v>
      </c>
      <c r="I45" s="269">
        <f>'[2]3.Interné služby'!$W$95</f>
        <v>0</v>
      </c>
      <c r="J45" s="269">
        <f>'[2]3.Interné služby'!$X$95</f>
        <v>0</v>
      </c>
      <c r="K45" s="303">
        <f>'[2]3.Interné služby'!$Y$95</f>
        <v>0</v>
      </c>
      <c r="L45" s="268">
        <f t="shared" si="32"/>
        <v>550</v>
      </c>
      <c r="M45" s="269">
        <f>'[3]3.Interné služby'!$Z$103</f>
        <v>550</v>
      </c>
      <c r="N45" s="269">
        <f>'[3]3.Interné služby'!$AA$103</f>
        <v>0</v>
      </c>
      <c r="O45" s="479">
        <f>'[3]3.Interné služby'!$AB$103</f>
        <v>0</v>
      </c>
      <c r="P45" s="680">
        <f t="shared" si="33"/>
        <v>0</v>
      </c>
      <c r="Q45" s="681">
        <f>'[3]3.Interné služby'!$AC$103</f>
        <v>0</v>
      </c>
      <c r="R45" s="681">
        <f>'[3]3.Interné služby'!$AD$103</f>
        <v>0</v>
      </c>
      <c r="S45" s="682">
        <f>'[3]3.Interné služby'!$AE$103</f>
        <v>0</v>
      </c>
    </row>
    <row r="46" spans="1:19" s="123" customFormat="1" ht="15.75" x14ac:dyDescent="0.25">
      <c r="B46" s="281" t="s">
        <v>201</v>
      </c>
      <c r="C46" s="282"/>
      <c r="D46" s="265">
        <f t="shared" ref="D46:S46" si="34">D47+D48+D51</f>
        <v>40362.54</v>
      </c>
      <c r="E46" s="266">
        <f t="shared" si="34"/>
        <v>40362.54</v>
      </c>
      <c r="F46" s="266">
        <f t="shared" si="34"/>
        <v>0</v>
      </c>
      <c r="G46" s="341">
        <f t="shared" si="34"/>
        <v>0</v>
      </c>
      <c r="H46" s="265">
        <f>H47+H48+H51</f>
        <v>55270.729999999996</v>
      </c>
      <c r="I46" s="266">
        <f t="shared" si="34"/>
        <v>55270.729999999996</v>
      </c>
      <c r="J46" s="266">
        <f t="shared" si="34"/>
        <v>0</v>
      </c>
      <c r="K46" s="267">
        <f t="shared" si="34"/>
        <v>0</v>
      </c>
      <c r="L46" s="265">
        <f t="shared" si="34"/>
        <v>59610</v>
      </c>
      <c r="M46" s="266">
        <f t="shared" si="34"/>
        <v>59610</v>
      </c>
      <c r="N46" s="266">
        <f t="shared" si="34"/>
        <v>0</v>
      </c>
      <c r="O46" s="354">
        <f t="shared" si="34"/>
        <v>0</v>
      </c>
      <c r="P46" s="674">
        <f t="shared" si="34"/>
        <v>51852</v>
      </c>
      <c r="Q46" s="675">
        <f t="shared" si="34"/>
        <v>51852</v>
      </c>
      <c r="R46" s="675">
        <f t="shared" si="34"/>
        <v>0</v>
      </c>
      <c r="S46" s="676">
        <f t="shared" si="34"/>
        <v>0</v>
      </c>
    </row>
    <row r="47" spans="1:19" ht="15.75" x14ac:dyDescent="0.25">
      <c r="B47" s="273" t="s">
        <v>202</v>
      </c>
      <c r="C47" s="274" t="s">
        <v>203</v>
      </c>
      <c r="D47" s="259">
        <f>SUM(E47:G47)</f>
        <v>13883.619999999999</v>
      </c>
      <c r="E47" s="257">
        <f>'[1]4.Služby občanov'!$W$4</f>
        <v>13883.619999999999</v>
      </c>
      <c r="F47" s="257">
        <f>'[1]4.Služby občanov'!$X$4</f>
        <v>0</v>
      </c>
      <c r="G47" s="270">
        <f>'[1]4.Služby občanov'!$Y$4</f>
        <v>0</v>
      </c>
      <c r="H47" s="259">
        <f>SUM(I47:K47)</f>
        <v>26097.149999999998</v>
      </c>
      <c r="I47" s="257">
        <f>'[2]4.Služby občanov'!$W$4</f>
        <v>26097.149999999998</v>
      </c>
      <c r="J47" s="257">
        <f>'[2]4.Služby občanov'!$X$4</f>
        <v>0</v>
      </c>
      <c r="K47" s="258">
        <f>'[2]4.Služby občanov'!$Y$4</f>
        <v>0</v>
      </c>
      <c r="L47" s="259">
        <f>SUM(M47:O47)</f>
        <v>26990</v>
      </c>
      <c r="M47" s="257">
        <f>'[3]4.Služby občanov'!$Z$4</f>
        <v>26990</v>
      </c>
      <c r="N47" s="257">
        <f>'[3]4.Služby občanov'!$AA$4</f>
        <v>0</v>
      </c>
      <c r="O47" s="355">
        <f>'[3]4.Služby občanov'!$AB$4</f>
        <v>0</v>
      </c>
      <c r="P47" s="677">
        <f>SUM(Q47:S47)</f>
        <v>21328.589999999997</v>
      </c>
      <c r="Q47" s="678">
        <f>'[3]4.Služby občanov'!$AC$4</f>
        <v>21328.589999999997</v>
      </c>
      <c r="R47" s="678">
        <f>'[3]4.Služby občanov'!$AD$4</f>
        <v>0</v>
      </c>
      <c r="S47" s="679">
        <f>'[3]4.Služby občanov'!$AE$4</f>
        <v>0</v>
      </c>
    </row>
    <row r="48" spans="1:19" ht="15.75" x14ac:dyDescent="0.25">
      <c r="A48" s="125"/>
      <c r="B48" s="273" t="s">
        <v>204</v>
      </c>
      <c r="C48" s="274" t="s">
        <v>205</v>
      </c>
      <c r="D48" s="259">
        <f t="shared" ref="D48:G48" si="35">SUM(D49:D50)</f>
        <v>26478.920000000002</v>
      </c>
      <c r="E48" s="257">
        <f t="shared" si="35"/>
        <v>26478.920000000002</v>
      </c>
      <c r="F48" s="257">
        <f t="shared" si="35"/>
        <v>0</v>
      </c>
      <c r="G48" s="270">
        <f t="shared" si="35"/>
        <v>0</v>
      </c>
      <c r="H48" s="259">
        <f t="shared" ref="H48:K48" si="36">SUM(H49:H50)</f>
        <v>29173.579999999998</v>
      </c>
      <c r="I48" s="257">
        <f t="shared" si="36"/>
        <v>29173.579999999998</v>
      </c>
      <c r="J48" s="257">
        <f t="shared" si="36"/>
        <v>0</v>
      </c>
      <c r="K48" s="258">
        <f t="shared" si="36"/>
        <v>0</v>
      </c>
      <c r="L48" s="259">
        <f t="shared" ref="L48:S48" si="37">SUM(L49:L50)</f>
        <v>32620</v>
      </c>
      <c r="M48" s="257">
        <f t="shared" si="37"/>
        <v>32620</v>
      </c>
      <c r="N48" s="257">
        <f t="shared" si="37"/>
        <v>0</v>
      </c>
      <c r="O48" s="355">
        <f t="shared" si="37"/>
        <v>0</v>
      </c>
      <c r="P48" s="677">
        <f t="shared" si="37"/>
        <v>30523.410000000003</v>
      </c>
      <c r="Q48" s="678">
        <f t="shared" si="37"/>
        <v>30523.410000000003</v>
      </c>
      <c r="R48" s="678">
        <f t="shared" si="37"/>
        <v>0</v>
      </c>
      <c r="S48" s="679">
        <f t="shared" si="37"/>
        <v>0</v>
      </c>
    </row>
    <row r="49" spans="1:19" ht="15.75" x14ac:dyDescent="0.25">
      <c r="A49" s="125"/>
      <c r="B49" s="273">
        <v>1</v>
      </c>
      <c r="C49" s="274" t="s">
        <v>206</v>
      </c>
      <c r="D49" s="259">
        <f>SUM(E49:G49)</f>
        <v>26478.920000000002</v>
      </c>
      <c r="E49" s="257">
        <f>'[1]4.Služby občanov'!$W$17</f>
        <v>26478.920000000002</v>
      </c>
      <c r="F49" s="257">
        <f>'[1]4.Služby občanov'!$X$17</f>
        <v>0</v>
      </c>
      <c r="G49" s="270">
        <f>'[1]4.Služby občanov'!$Y$17</f>
        <v>0</v>
      </c>
      <c r="H49" s="259">
        <f>SUM(I49:K49)</f>
        <v>29173.579999999998</v>
      </c>
      <c r="I49" s="257">
        <f>'[2]4.Služby občanov'!$W$17</f>
        <v>29173.579999999998</v>
      </c>
      <c r="J49" s="257">
        <f>'[2]4.Služby občanov'!$X$17</f>
        <v>0</v>
      </c>
      <c r="K49" s="258">
        <f>'[2]4.Služby občanov'!$Y$17</f>
        <v>0</v>
      </c>
      <c r="L49" s="259">
        <f>SUM(M49:O49)</f>
        <v>32620</v>
      </c>
      <c r="M49" s="257">
        <f>'[3]4.Služby občanov'!$Z$17</f>
        <v>32620</v>
      </c>
      <c r="N49" s="257">
        <f>'[3]4.Služby občanov'!$AA$17</f>
        <v>0</v>
      </c>
      <c r="O49" s="355">
        <f>'[3]4.Služby občanov'!$AB$17</f>
        <v>0</v>
      </c>
      <c r="P49" s="677">
        <f>SUM(Q49:S49)</f>
        <v>30523.410000000003</v>
      </c>
      <c r="Q49" s="678">
        <f>'[3]4.Služby občanov'!$AC$17</f>
        <v>30523.410000000003</v>
      </c>
      <c r="R49" s="678">
        <f>'[3]4.Služby občanov'!$AD$17</f>
        <v>0</v>
      </c>
      <c r="S49" s="679">
        <f>'[3]4.Služby občanov'!$AE$17</f>
        <v>0</v>
      </c>
    </row>
    <row r="50" spans="1:19" ht="15.75" x14ac:dyDescent="0.25">
      <c r="A50" s="125"/>
      <c r="B50" s="273">
        <v>2</v>
      </c>
      <c r="C50" s="274" t="s">
        <v>207</v>
      </c>
      <c r="D50" s="259">
        <f>SUM(E50:G50)</f>
        <v>0</v>
      </c>
      <c r="E50" s="257">
        <f>'[1]4.Služby občanov'!$W$28</f>
        <v>0</v>
      </c>
      <c r="F50" s="257">
        <f>'[1]4.Služby občanov'!$X$28</f>
        <v>0</v>
      </c>
      <c r="G50" s="270">
        <f>'[1]4.Služby občanov'!$Y$28</f>
        <v>0</v>
      </c>
      <c r="H50" s="259">
        <f>SUM(I50:K50)</f>
        <v>0</v>
      </c>
      <c r="I50" s="257">
        <f>'[2]4.Služby občanov'!$W$28</f>
        <v>0</v>
      </c>
      <c r="J50" s="257">
        <f>'[2]4.Služby občanov'!$X$28</f>
        <v>0</v>
      </c>
      <c r="K50" s="258">
        <f>'[2]4.Služby občanov'!$Y$28</f>
        <v>0</v>
      </c>
      <c r="L50" s="259">
        <f>SUM(M50:O50)</f>
        <v>0</v>
      </c>
      <c r="M50" s="257">
        <f>'[3]4.Služby občanov'!$Z$28</f>
        <v>0</v>
      </c>
      <c r="N50" s="257">
        <f>'[3]4.Služby občanov'!$AA$28</f>
        <v>0</v>
      </c>
      <c r="O50" s="355">
        <f>'[3]4.Služby občanov'!$AB$28</f>
        <v>0</v>
      </c>
      <c r="P50" s="677">
        <f>SUM(Q50:S50)</f>
        <v>0</v>
      </c>
      <c r="Q50" s="678">
        <f>'[3]4.Služby občanov'!$AC$28</f>
        <v>0</v>
      </c>
      <c r="R50" s="678">
        <f>'[3]4.Služby občanov'!$AD$28</f>
        <v>0</v>
      </c>
      <c r="S50" s="679">
        <f>'[3]4.Služby občanov'!$AE$28</f>
        <v>0</v>
      </c>
    </row>
    <row r="51" spans="1:19" ht="16.5" outlineLevel="1" thickBot="1" x14ac:dyDescent="0.3">
      <c r="A51" s="125"/>
      <c r="B51" s="283" t="s">
        <v>208</v>
      </c>
      <c r="C51" s="276" t="s">
        <v>209</v>
      </c>
      <c r="D51" s="268">
        <f>SUM(E51:G51)</f>
        <v>0</v>
      </c>
      <c r="E51" s="269">
        <f>'[1]4.Služby občanov'!$W$30</f>
        <v>0</v>
      </c>
      <c r="F51" s="269">
        <f>'[1]4.Služby občanov'!$X$30</f>
        <v>0</v>
      </c>
      <c r="G51" s="360">
        <f>'[1]4.Služby občanov'!$Y$30</f>
        <v>0</v>
      </c>
      <c r="H51" s="259">
        <f>SUM(I51:K51)</f>
        <v>0</v>
      </c>
      <c r="I51" s="269">
        <v>0</v>
      </c>
      <c r="J51" s="269">
        <v>0</v>
      </c>
      <c r="K51" s="303">
        <v>0</v>
      </c>
      <c r="L51" s="259">
        <f>SUM(M51:O51)</f>
        <v>0</v>
      </c>
      <c r="M51" s="269">
        <f>'[3]4.Služby občanov'!$Z$30</f>
        <v>0</v>
      </c>
      <c r="N51" s="269">
        <f>'[3]4.Služby občanov'!$AA$30</f>
        <v>0</v>
      </c>
      <c r="O51" s="479">
        <f>'[3]4.Služby občanov'!$AB$30</f>
        <v>0</v>
      </c>
      <c r="P51" s="677">
        <f>SUM(Q51:S51)</f>
        <v>0</v>
      </c>
      <c r="Q51" s="681">
        <f>'[3]4.Služby občanov'!$AC$30</f>
        <v>0</v>
      </c>
      <c r="R51" s="681">
        <f>'[3]4.Služby občanov'!$AD$30</f>
        <v>0</v>
      </c>
      <c r="S51" s="682">
        <f>'[3]4.Služby občanov'!$AE$30</f>
        <v>0</v>
      </c>
    </row>
    <row r="52" spans="1:19" s="123" customFormat="1" ht="15.75" x14ac:dyDescent="0.25">
      <c r="A52" s="125"/>
      <c r="B52" s="277" t="s">
        <v>210</v>
      </c>
      <c r="C52" s="284"/>
      <c r="D52" s="265">
        <f t="shared" ref="D52:S52" si="38">D53+D58+D60+D59+D65</f>
        <v>1208470.3800000004</v>
      </c>
      <c r="E52" s="266">
        <f t="shared" si="38"/>
        <v>1087879.9600000002</v>
      </c>
      <c r="F52" s="266">
        <f t="shared" si="38"/>
        <v>120590.42</v>
      </c>
      <c r="G52" s="341">
        <f t="shared" si="38"/>
        <v>0</v>
      </c>
      <c r="H52" s="265">
        <f t="shared" si="38"/>
        <v>1206935.3100000003</v>
      </c>
      <c r="I52" s="266">
        <f t="shared" si="38"/>
        <v>1091935.3100000005</v>
      </c>
      <c r="J52" s="266">
        <f>J53+J58+J60+J59+J65</f>
        <v>115000</v>
      </c>
      <c r="K52" s="267">
        <f t="shared" si="38"/>
        <v>0</v>
      </c>
      <c r="L52" s="265">
        <f t="shared" si="38"/>
        <v>1383247</v>
      </c>
      <c r="M52" s="266">
        <f t="shared" si="38"/>
        <v>1251147</v>
      </c>
      <c r="N52" s="266">
        <f t="shared" si="38"/>
        <v>132100</v>
      </c>
      <c r="O52" s="354">
        <f t="shared" si="38"/>
        <v>0</v>
      </c>
      <c r="P52" s="674">
        <f t="shared" si="38"/>
        <v>1358306.0200000003</v>
      </c>
      <c r="Q52" s="675">
        <f t="shared" si="38"/>
        <v>1226369.4100000001</v>
      </c>
      <c r="R52" s="675">
        <f t="shared" si="38"/>
        <v>131936.60999999999</v>
      </c>
      <c r="S52" s="676">
        <f t="shared" si="38"/>
        <v>0</v>
      </c>
    </row>
    <row r="53" spans="1:19" ht="15.75" x14ac:dyDescent="0.25">
      <c r="A53" s="125"/>
      <c r="B53" s="285" t="s">
        <v>211</v>
      </c>
      <c r="C53" s="274" t="s">
        <v>212</v>
      </c>
      <c r="D53" s="259">
        <f t="shared" ref="D53:G53" si="39">SUM(D54:D57)</f>
        <v>821266.06000000017</v>
      </c>
      <c r="E53" s="257">
        <f t="shared" si="39"/>
        <v>815675.64000000013</v>
      </c>
      <c r="F53" s="257">
        <f t="shared" si="39"/>
        <v>5590.42</v>
      </c>
      <c r="G53" s="270">
        <f t="shared" si="39"/>
        <v>0</v>
      </c>
      <c r="H53" s="259">
        <f t="shared" ref="H53:K53" si="40">SUM(H54:H57)</f>
        <v>881333.04000000027</v>
      </c>
      <c r="I53" s="257">
        <f t="shared" si="40"/>
        <v>881333.04000000027</v>
      </c>
      <c r="J53" s="257">
        <f t="shared" si="40"/>
        <v>0</v>
      </c>
      <c r="K53" s="258">
        <f t="shared" si="40"/>
        <v>0</v>
      </c>
      <c r="L53" s="259">
        <f t="shared" ref="L53:S53" si="41">SUM(L54:L57)</f>
        <v>1012510</v>
      </c>
      <c r="M53" s="257">
        <f t="shared" si="41"/>
        <v>995410</v>
      </c>
      <c r="N53" s="257">
        <f t="shared" si="41"/>
        <v>17100</v>
      </c>
      <c r="O53" s="355">
        <f t="shared" si="41"/>
        <v>0</v>
      </c>
      <c r="P53" s="677">
        <f t="shared" si="41"/>
        <v>999946.14</v>
      </c>
      <c r="Q53" s="678">
        <f t="shared" si="41"/>
        <v>983009.53</v>
      </c>
      <c r="R53" s="678">
        <f t="shared" si="41"/>
        <v>16936.61</v>
      </c>
      <c r="S53" s="679">
        <f t="shared" si="41"/>
        <v>0</v>
      </c>
    </row>
    <row r="54" spans="1:19" ht="15.75" x14ac:dyDescent="0.25">
      <c r="A54" s="125"/>
      <c r="B54" s="273">
        <v>1</v>
      </c>
      <c r="C54" s="274" t="s">
        <v>213</v>
      </c>
      <c r="D54" s="259">
        <f t="shared" ref="D54:D59" si="42">SUM(E54:G54)</f>
        <v>580219.65000000014</v>
      </c>
      <c r="E54" s="257">
        <f>'[1]5.Bezpečnosť, právo a por.'!$W$5</f>
        <v>574629.2300000001</v>
      </c>
      <c r="F54" s="257">
        <f>'[1]5.Bezpečnosť, právo a por.'!$X$5</f>
        <v>5590.42</v>
      </c>
      <c r="G54" s="270">
        <f>'[1]5.Bezpečnosť, právo a por.'!$Y$5</f>
        <v>0</v>
      </c>
      <c r="H54" s="259">
        <f t="shared" ref="H54:H59" si="43">SUM(I54:K54)</f>
        <v>614484.14000000025</v>
      </c>
      <c r="I54" s="257">
        <f>'[2]5.Bezpečnosť, právo a por.'!$W$5</f>
        <v>614484.14000000025</v>
      </c>
      <c r="J54" s="257">
        <f>'[2]5.Bezpečnosť, právo a por.'!$X$5</f>
        <v>0</v>
      </c>
      <c r="K54" s="258">
        <f>'[2]5.Bezpečnosť, právo a por.'!$Y$5</f>
        <v>0</v>
      </c>
      <c r="L54" s="259">
        <f t="shared" ref="L54:L59" si="44">SUM(M54:O54)</f>
        <v>698160</v>
      </c>
      <c r="M54" s="257">
        <f>'[3]5.Bezpečnosť, právo a por.'!$Z$5</f>
        <v>681060</v>
      </c>
      <c r="N54" s="257">
        <f>'[3]5.Bezpečnosť, právo a por.'!$AA$5</f>
        <v>17100</v>
      </c>
      <c r="O54" s="355">
        <f>'[3]5.Bezpečnosť, právo a por.'!$AB$5</f>
        <v>0</v>
      </c>
      <c r="P54" s="677">
        <f t="shared" ref="P54:P59" si="45">SUM(Q54:S54)</f>
        <v>690879.44000000006</v>
      </c>
      <c r="Q54" s="678">
        <f>'[3]5.Bezpečnosť, právo a por.'!$AC$5</f>
        <v>673942.83000000007</v>
      </c>
      <c r="R54" s="678">
        <f>'[3]5.Bezpečnosť, právo a por.'!$AD$5</f>
        <v>16936.61</v>
      </c>
      <c r="S54" s="679">
        <f>'[3]5.Bezpečnosť, právo a por.'!$AE$5</f>
        <v>0</v>
      </c>
    </row>
    <row r="55" spans="1:19" ht="15.75" x14ac:dyDescent="0.25">
      <c r="B55" s="273">
        <v>2</v>
      </c>
      <c r="C55" s="274" t="s">
        <v>214</v>
      </c>
      <c r="D55" s="259">
        <f t="shared" si="42"/>
        <v>126077.17</v>
      </c>
      <c r="E55" s="257">
        <f>'[1]5.Bezpečnosť, právo a por.'!$W$60</f>
        <v>126077.17</v>
      </c>
      <c r="F55" s="257">
        <f>'[1]5.Bezpečnosť, právo a por.'!$X$60</f>
        <v>0</v>
      </c>
      <c r="G55" s="270">
        <f>'[1]5.Bezpečnosť, právo a por.'!$Y$60</f>
        <v>0</v>
      </c>
      <c r="H55" s="259">
        <f t="shared" si="43"/>
        <v>135675.71999999997</v>
      </c>
      <c r="I55" s="257">
        <f>'[2]5.Bezpečnosť, právo a por.'!$W$60</f>
        <v>135675.71999999997</v>
      </c>
      <c r="J55" s="257">
        <f>'[2]5.Bezpečnosť, právo a por.'!$X$60</f>
        <v>0</v>
      </c>
      <c r="K55" s="258">
        <f>'[2]5.Bezpečnosť, právo a por.'!$Y$60</f>
        <v>0</v>
      </c>
      <c r="L55" s="259">
        <f t="shared" si="44"/>
        <v>162150</v>
      </c>
      <c r="M55" s="257">
        <f>'[3]5.Bezpečnosť, právo a por.'!$Z$60</f>
        <v>162150</v>
      </c>
      <c r="N55" s="257">
        <f>'[3]5.Bezpečnosť, právo a por.'!$AA$60</f>
        <v>0</v>
      </c>
      <c r="O55" s="355">
        <f>'[3]5.Bezpečnosť, právo a por.'!$AB$60</f>
        <v>0</v>
      </c>
      <c r="P55" s="677">
        <f t="shared" si="45"/>
        <v>159812.94999999998</v>
      </c>
      <c r="Q55" s="678">
        <f>'[3]5.Bezpečnosť, právo a por.'!$AC$60</f>
        <v>159812.94999999998</v>
      </c>
      <c r="R55" s="678">
        <f>'[3]5.Bezpečnosť, právo a por.'!$AD$60</f>
        <v>0</v>
      </c>
      <c r="S55" s="679">
        <f>'[3]5.Bezpečnosť, právo a por.'!$AE$60</f>
        <v>0</v>
      </c>
    </row>
    <row r="56" spans="1:19" ht="15.75" x14ac:dyDescent="0.25">
      <c r="A56" s="124"/>
      <c r="B56" s="273">
        <v>3</v>
      </c>
      <c r="C56" s="274" t="s">
        <v>215</v>
      </c>
      <c r="D56" s="259">
        <f t="shared" si="42"/>
        <v>57242.55</v>
      </c>
      <c r="E56" s="257">
        <f>'[1]5.Bezpečnosť, právo a por.'!$W$82</f>
        <v>57242.55</v>
      </c>
      <c r="F56" s="257">
        <f>'[1]5.Bezpečnosť, právo a por.'!$X$82</f>
        <v>0</v>
      </c>
      <c r="G56" s="270">
        <f>'[1]5.Bezpečnosť, právo a por.'!$Y$82</f>
        <v>0</v>
      </c>
      <c r="H56" s="259">
        <f t="shared" si="43"/>
        <v>64184.92</v>
      </c>
      <c r="I56" s="257">
        <f>'[2]5.Bezpečnosť, právo a por.'!$W$82</f>
        <v>64184.92</v>
      </c>
      <c r="J56" s="257">
        <f>'[2]5.Bezpečnosť, právo a por.'!$X$82</f>
        <v>0</v>
      </c>
      <c r="K56" s="258">
        <f>'[2]5.Bezpečnosť, právo a por.'!$Y$82</f>
        <v>0</v>
      </c>
      <c r="L56" s="259">
        <f t="shared" si="44"/>
        <v>74000</v>
      </c>
      <c r="M56" s="257">
        <f>'[3]5.Bezpečnosť, právo a por.'!$Z$83</f>
        <v>74000</v>
      </c>
      <c r="N56" s="257">
        <f>'[3]5.Bezpečnosť, právo a por.'!$AA$83</f>
        <v>0</v>
      </c>
      <c r="O56" s="355">
        <f>'[3]5.Bezpečnosť, právo a por.'!$AB$83</f>
        <v>0</v>
      </c>
      <c r="P56" s="677">
        <f t="shared" si="45"/>
        <v>73279.289999999994</v>
      </c>
      <c r="Q56" s="678">
        <f>'[3]5.Bezpečnosť, právo a por.'!$AC$83</f>
        <v>73279.289999999994</v>
      </c>
      <c r="R56" s="678">
        <f>'[3]5.Bezpečnosť, právo a por.'!$AD$83</f>
        <v>0</v>
      </c>
      <c r="S56" s="679">
        <f>'[3]5.Bezpečnosť, právo a por.'!$AE$83</f>
        <v>0</v>
      </c>
    </row>
    <row r="57" spans="1:19" ht="15.75" x14ac:dyDescent="0.25">
      <c r="A57" s="124"/>
      <c r="B57" s="273">
        <v>4</v>
      </c>
      <c r="C57" s="274" t="s">
        <v>216</v>
      </c>
      <c r="D57" s="259">
        <f t="shared" si="42"/>
        <v>57726.689999999995</v>
      </c>
      <c r="E57" s="257">
        <f>'[1]5.Bezpečnosť, právo a por.'!$W$85</f>
        <v>57726.689999999995</v>
      </c>
      <c r="F57" s="257">
        <f>'[1]5.Bezpečnosť, právo a por.'!$X$85</f>
        <v>0</v>
      </c>
      <c r="G57" s="270">
        <f>'[1]5.Bezpečnosť, právo a por.'!$Y$85</f>
        <v>0</v>
      </c>
      <c r="H57" s="259">
        <f t="shared" si="43"/>
        <v>66988.260000000009</v>
      </c>
      <c r="I57" s="257">
        <f>'[2]5.Bezpečnosť, právo a por.'!$W$85</f>
        <v>66988.260000000009</v>
      </c>
      <c r="J57" s="257">
        <f>'[2]5.Bezpečnosť, právo a por.'!$X$85</f>
        <v>0</v>
      </c>
      <c r="K57" s="258">
        <f>'[2]5.Bezpečnosť, právo a por.'!$Y$85</f>
        <v>0</v>
      </c>
      <c r="L57" s="259">
        <f t="shared" si="44"/>
        <v>78200</v>
      </c>
      <c r="M57" s="257">
        <f>'[3]5.Bezpečnosť, právo a por.'!$Z$86</f>
        <v>78200</v>
      </c>
      <c r="N57" s="257">
        <f>'[3]5.Bezpečnosť, právo a por.'!$AA$86</f>
        <v>0</v>
      </c>
      <c r="O57" s="355">
        <f>'[3]5.Bezpečnosť, právo a por.'!$AB$86</f>
        <v>0</v>
      </c>
      <c r="P57" s="677">
        <f t="shared" si="45"/>
        <v>75974.460000000006</v>
      </c>
      <c r="Q57" s="678">
        <f>'[3]5.Bezpečnosť, právo a por.'!$AC$86</f>
        <v>75974.460000000006</v>
      </c>
      <c r="R57" s="678">
        <f>'[3]5.Bezpečnosť, právo a por.'!$AD$86</f>
        <v>0</v>
      </c>
      <c r="S57" s="679">
        <f>'[3]5.Bezpečnosť, právo a por.'!$AE$86</f>
        <v>0</v>
      </c>
    </row>
    <row r="58" spans="1:19" ht="15.75" x14ac:dyDescent="0.25">
      <c r="B58" s="285" t="s">
        <v>217</v>
      </c>
      <c r="C58" s="274" t="s">
        <v>218</v>
      </c>
      <c r="D58" s="259">
        <f t="shared" si="42"/>
        <v>77467.839999999997</v>
      </c>
      <c r="E58" s="257">
        <f>'[1]5.Bezpečnosť, právo a por.'!$W$93</f>
        <v>77467.839999999997</v>
      </c>
      <c r="F58" s="257">
        <f>'[1]5.Bezpečnosť, právo a por.'!$X$93</f>
        <v>0</v>
      </c>
      <c r="G58" s="270">
        <f>'[1]5.Bezpečnosť, právo a por.'!$Y$93</f>
        <v>0</v>
      </c>
      <c r="H58" s="259">
        <f t="shared" si="43"/>
        <v>1786.95</v>
      </c>
      <c r="I58" s="257">
        <f>'[2]5.Bezpečnosť, právo a por.'!$W$93</f>
        <v>1786.95</v>
      </c>
      <c r="J58" s="257">
        <f>'[2]5.Bezpečnosť, právo a por.'!$X$93</f>
        <v>0</v>
      </c>
      <c r="K58" s="258">
        <f>'[2]5.Bezpečnosť, právo a por.'!$Y$93</f>
        <v>0</v>
      </c>
      <c r="L58" s="259">
        <f t="shared" si="44"/>
        <v>5000</v>
      </c>
      <c r="M58" s="257">
        <f>'[3]5.Bezpečnosť, právo a por.'!$Z$94</f>
        <v>5000</v>
      </c>
      <c r="N58" s="257">
        <f>'[3]5.Bezpečnosť, právo a por.'!$AA$94</f>
        <v>0</v>
      </c>
      <c r="O58" s="355">
        <f>'[3]5.Bezpečnosť, právo a por.'!$AB$94</f>
        <v>0</v>
      </c>
      <c r="P58" s="677">
        <f t="shared" si="45"/>
        <v>0</v>
      </c>
      <c r="Q58" s="678">
        <f>'[3]5.Bezpečnosť, právo a por.'!$AC$94</f>
        <v>0</v>
      </c>
      <c r="R58" s="678">
        <f>'[3]5.Bezpečnosť, právo a por.'!$AD$94</f>
        <v>0</v>
      </c>
      <c r="S58" s="679">
        <f>'[3]5.Bezpečnosť, právo a por.'!$AE$94</f>
        <v>0</v>
      </c>
    </row>
    <row r="59" spans="1:19" ht="15.75" x14ac:dyDescent="0.25">
      <c r="B59" s="285" t="s">
        <v>219</v>
      </c>
      <c r="C59" s="274" t="s">
        <v>220</v>
      </c>
      <c r="D59" s="259">
        <f t="shared" si="42"/>
        <v>3509.87</v>
      </c>
      <c r="E59" s="257">
        <f>'[1]5.Bezpečnosť, právo a por.'!$W$95</f>
        <v>3509.87</v>
      </c>
      <c r="F59" s="257">
        <f>'[1]5.Bezpečnosť, právo a por.'!$X$95</f>
        <v>0</v>
      </c>
      <c r="G59" s="270">
        <f>'[1]5.Bezpečnosť, právo a por.'!$Y$95</f>
        <v>0</v>
      </c>
      <c r="H59" s="259">
        <f t="shared" si="43"/>
        <v>5423.37</v>
      </c>
      <c r="I59" s="257">
        <f>'[2]5.Bezpečnosť, právo a por.'!$W$95</f>
        <v>5423.37</v>
      </c>
      <c r="J59" s="257">
        <f>'[2]5.Bezpečnosť, právo a por.'!$X$95</f>
        <v>0</v>
      </c>
      <c r="K59" s="258">
        <f>'[2]5.Bezpečnosť, právo a por.'!$Y$95</f>
        <v>0</v>
      </c>
      <c r="L59" s="259">
        <f t="shared" si="44"/>
        <v>8150</v>
      </c>
      <c r="M59" s="257">
        <f>'[3]5.Bezpečnosť, právo a por.'!$Z$96</f>
        <v>8150</v>
      </c>
      <c r="N59" s="257">
        <f>'[3]5.Bezpečnosť, právo a por.'!$AA$96</f>
        <v>0</v>
      </c>
      <c r="O59" s="355">
        <f>'[3]5.Bezpečnosť, právo a por.'!$AB$96</f>
        <v>0</v>
      </c>
      <c r="P59" s="677">
        <f t="shared" si="45"/>
        <v>5030.1099999999997</v>
      </c>
      <c r="Q59" s="678">
        <f>'[3]5.Bezpečnosť, právo a por.'!$AC$96</f>
        <v>5030.1099999999997</v>
      </c>
      <c r="R59" s="678">
        <f>'[3]5.Bezpečnosť, právo a por.'!$AD$96</f>
        <v>0</v>
      </c>
      <c r="S59" s="679">
        <f>'[3]5.Bezpečnosť, právo a por.'!$AE$96</f>
        <v>0</v>
      </c>
    </row>
    <row r="60" spans="1:19" ht="15.75" x14ac:dyDescent="0.25">
      <c r="B60" s="285" t="s">
        <v>221</v>
      </c>
      <c r="C60" s="274" t="s">
        <v>222</v>
      </c>
      <c r="D60" s="259">
        <f t="shared" ref="D60:G60" si="46">SUM(D61:D64)</f>
        <v>298226.61</v>
      </c>
      <c r="E60" s="257">
        <f t="shared" si="46"/>
        <v>183226.61</v>
      </c>
      <c r="F60" s="257">
        <f t="shared" si="46"/>
        <v>115000</v>
      </c>
      <c r="G60" s="270">
        <f t="shared" si="46"/>
        <v>0</v>
      </c>
      <c r="H60" s="259">
        <f t="shared" ref="H60:K60" si="47">SUM(H61:H64)</f>
        <v>312619.33999999997</v>
      </c>
      <c r="I60" s="257">
        <f t="shared" si="47"/>
        <v>197619.34</v>
      </c>
      <c r="J60" s="257">
        <f t="shared" si="47"/>
        <v>115000</v>
      </c>
      <c r="K60" s="258">
        <f t="shared" si="47"/>
        <v>0</v>
      </c>
      <c r="L60" s="259">
        <f t="shared" ref="L60:S60" si="48">SUM(L61:L64)</f>
        <v>348400</v>
      </c>
      <c r="M60" s="257">
        <f t="shared" si="48"/>
        <v>233400</v>
      </c>
      <c r="N60" s="257">
        <f t="shared" si="48"/>
        <v>115000</v>
      </c>
      <c r="O60" s="355">
        <f t="shared" si="48"/>
        <v>0</v>
      </c>
      <c r="P60" s="677">
        <f t="shared" si="48"/>
        <v>344945.45</v>
      </c>
      <c r="Q60" s="678">
        <f t="shared" si="48"/>
        <v>229945.45</v>
      </c>
      <c r="R60" s="678">
        <f t="shared" si="48"/>
        <v>115000</v>
      </c>
      <c r="S60" s="679">
        <f t="shared" si="48"/>
        <v>0</v>
      </c>
    </row>
    <row r="61" spans="1:19" ht="15.75" x14ac:dyDescent="0.25">
      <c r="B61" s="273">
        <v>1</v>
      </c>
      <c r="C61" s="274" t="s">
        <v>223</v>
      </c>
      <c r="D61" s="259">
        <f>SUM(E61:G61)</f>
        <v>115000</v>
      </c>
      <c r="E61" s="257">
        <f>'[1]5.Bezpečnosť, právo a por.'!$W$113</f>
        <v>0</v>
      </c>
      <c r="F61" s="257">
        <f>'[1]5.Bezpečnosť, právo a por.'!$X$113</f>
        <v>115000</v>
      </c>
      <c r="G61" s="270">
        <f>'[1]5.Bezpečnosť, právo a por.'!$Y$113</f>
        <v>0</v>
      </c>
      <c r="H61" s="259">
        <f>SUM(I61:K61)</f>
        <v>115000</v>
      </c>
      <c r="I61" s="257">
        <f>'[2]5.Bezpečnosť, právo a por.'!$W$113</f>
        <v>0</v>
      </c>
      <c r="J61" s="257">
        <f>'[2]5.Bezpečnosť, právo a por.'!$X$113</f>
        <v>115000</v>
      </c>
      <c r="K61" s="258">
        <f>'[2]5.Bezpečnosť, právo a por.'!$Y$113</f>
        <v>0</v>
      </c>
      <c r="L61" s="259">
        <f>SUM(M61:O61)</f>
        <v>115000</v>
      </c>
      <c r="M61" s="257">
        <f>'[3]5.Bezpečnosť, právo a por.'!$Z$114</f>
        <v>0</v>
      </c>
      <c r="N61" s="257">
        <f>'[3]5.Bezpečnosť, právo a por.'!$AA$114</f>
        <v>115000</v>
      </c>
      <c r="O61" s="355">
        <f>'[3]5.Bezpečnosť, právo a por.'!$AB$114</f>
        <v>0</v>
      </c>
      <c r="P61" s="677">
        <f>SUM(Q61:S61)</f>
        <v>115000</v>
      </c>
      <c r="Q61" s="678">
        <f>'[3]5.Bezpečnosť, právo a por.'!$AC$114</f>
        <v>0</v>
      </c>
      <c r="R61" s="678">
        <f>'[3]5.Bezpečnosť, právo a por.'!$AD$114</f>
        <v>115000</v>
      </c>
      <c r="S61" s="679">
        <f>'[3]5.Bezpečnosť, právo a por.'!$AE$114</f>
        <v>0</v>
      </c>
    </row>
    <row r="62" spans="1:19" ht="15.75" x14ac:dyDescent="0.25">
      <c r="B62" s="273">
        <v>2</v>
      </c>
      <c r="C62" s="274" t="s">
        <v>224</v>
      </c>
      <c r="D62" s="259">
        <f>SUM(E62:G62)</f>
        <v>88711.37</v>
      </c>
      <c r="E62" s="257">
        <f>'[1]5.Bezpečnosť, právo a por.'!$W$120</f>
        <v>88711.37</v>
      </c>
      <c r="F62" s="257">
        <f>'[1]5.Bezpečnosť, právo a por.'!$X$120</f>
        <v>0</v>
      </c>
      <c r="G62" s="270">
        <f>'[1]5.Bezpečnosť, právo a por.'!$Y$120</f>
        <v>0</v>
      </c>
      <c r="H62" s="259">
        <f>SUM(I62:K62)</f>
        <v>95542.59</v>
      </c>
      <c r="I62" s="257">
        <f>'[2]5.Bezpečnosť, právo a por.'!$W$120</f>
        <v>95542.59</v>
      </c>
      <c r="J62" s="257">
        <f>'[2]5.Bezpečnosť, právo a por.'!$X$120</f>
        <v>0</v>
      </c>
      <c r="K62" s="258">
        <f>'[2]5.Bezpečnosť, právo a por.'!$Y$120</f>
        <v>0</v>
      </c>
      <c r="L62" s="259">
        <f>SUM(M62:O62)</f>
        <v>93400</v>
      </c>
      <c r="M62" s="257">
        <f>'[3]5.Bezpečnosť, právo a por.'!$Z$121</f>
        <v>93400</v>
      </c>
      <c r="N62" s="257">
        <f>'[3]5.Bezpečnosť, právo a por.'!$AA$121</f>
        <v>0</v>
      </c>
      <c r="O62" s="355">
        <f>'[3]5.Bezpečnosť, právo a por.'!$AB$121</f>
        <v>0</v>
      </c>
      <c r="P62" s="677">
        <f>SUM(Q62:S62)</f>
        <v>93302.27</v>
      </c>
      <c r="Q62" s="678">
        <f>'[3]5.Bezpečnosť, právo a por.'!$AC$121</f>
        <v>93302.27</v>
      </c>
      <c r="R62" s="678">
        <f>'[3]5.Bezpečnosť, právo a por.'!$AD$121</f>
        <v>0</v>
      </c>
      <c r="S62" s="679">
        <f>'[3]5.Bezpečnosť, právo a por.'!$AE$121</f>
        <v>0</v>
      </c>
    </row>
    <row r="63" spans="1:19" ht="15.75" x14ac:dyDescent="0.25">
      <c r="B63" s="273">
        <v>3</v>
      </c>
      <c r="C63" s="274" t="s">
        <v>225</v>
      </c>
      <c r="D63" s="259">
        <f>SUM(E63:G63)</f>
        <v>94515.24</v>
      </c>
      <c r="E63" s="257">
        <f>'[1]5.Bezpečnosť, právo a por.'!$W$123</f>
        <v>94515.24</v>
      </c>
      <c r="F63" s="257">
        <f>'[1]5.Bezpečnosť, právo a por.'!$X$123</f>
        <v>0</v>
      </c>
      <c r="G63" s="270">
        <f>'[1]5.Bezpečnosť, právo a por.'!$Y$123</f>
        <v>0</v>
      </c>
      <c r="H63" s="259">
        <f>SUM(I63:K63)</f>
        <v>102076.75</v>
      </c>
      <c r="I63" s="257">
        <f>'[2]5.Bezpečnosť, právo a por.'!$W$123</f>
        <v>102076.75</v>
      </c>
      <c r="J63" s="257">
        <f>'[2]5.Bezpečnosť, právo a por.'!$X$123</f>
        <v>0</v>
      </c>
      <c r="K63" s="258">
        <f>'[2]5.Bezpečnosť, právo a por.'!$Y$123</f>
        <v>0</v>
      </c>
      <c r="L63" s="259">
        <f>SUM(M63:O63)</f>
        <v>140000</v>
      </c>
      <c r="M63" s="257">
        <f>'[3]5.Bezpečnosť, právo a por.'!$Z$124</f>
        <v>140000</v>
      </c>
      <c r="N63" s="257">
        <f>'[3]5.Bezpečnosť, právo a por.'!$AA$124</f>
        <v>0</v>
      </c>
      <c r="O63" s="355">
        <f>'[3]5.Bezpečnosť, právo a por.'!$AB$124</f>
        <v>0</v>
      </c>
      <c r="P63" s="677">
        <f>SUM(Q63:S63)</f>
        <v>136643.18</v>
      </c>
      <c r="Q63" s="678">
        <f>'[3]5.Bezpečnosť, právo a por.'!$AC$124</f>
        <v>136643.18</v>
      </c>
      <c r="R63" s="678">
        <f>'[3]5.Bezpečnosť, právo a por.'!$AD$124</f>
        <v>0</v>
      </c>
      <c r="S63" s="679">
        <f>'[3]5.Bezpečnosť, právo a por.'!$AE$124</f>
        <v>0</v>
      </c>
    </row>
    <row r="64" spans="1:19" ht="15.75" x14ac:dyDescent="0.25">
      <c r="B64" s="273">
        <v>4</v>
      </c>
      <c r="C64" s="274" t="s">
        <v>226</v>
      </c>
      <c r="D64" s="259">
        <f>SUM(E64:G64)</f>
        <v>0</v>
      </c>
      <c r="E64" s="257">
        <f>'[1]5.Bezpečnosť, právo a por.'!$W$126</f>
        <v>0</v>
      </c>
      <c r="F64" s="257">
        <f>'[1]5.Bezpečnosť, právo a por.'!$X$126</f>
        <v>0</v>
      </c>
      <c r="G64" s="270">
        <f>'[1]5.Bezpečnosť, právo a por.'!$Y$126</f>
        <v>0</v>
      </c>
      <c r="H64" s="259">
        <f>SUM(I64:K64)</f>
        <v>0</v>
      </c>
      <c r="I64" s="257">
        <f>'[2]5.Bezpečnosť, právo a por.'!$W$126</f>
        <v>0</v>
      </c>
      <c r="J64" s="257">
        <f>'[2]5.Bezpečnosť, právo a por.'!$X$126</f>
        <v>0</v>
      </c>
      <c r="K64" s="258">
        <f>'[2]5.Bezpečnosť, právo a por.'!$Y$126</f>
        <v>0</v>
      </c>
      <c r="L64" s="259">
        <f>SUM(M64:O64)</f>
        <v>0</v>
      </c>
      <c r="M64" s="257">
        <f>'[3]5.Bezpečnosť, právo a por.'!$Z$127</f>
        <v>0</v>
      </c>
      <c r="N64" s="257">
        <f>'[3]5.Bezpečnosť, právo a por.'!$AAX$127</f>
        <v>0</v>
      </c>
      <c r="O64" s="355">
        <f>'[3]5.Bezpečnosť, právo a por.'!$AB$127</f>
        <v>0</v>
      </c>
      <c r="P64" s="677">
        <f>SUM(Q64:S64)</f>
        <v>0</v>
      </c>
      <c r="Q64" s="678">
        <f>'[3]5.Bezpečnosť, právo a por.'!$AC$127</f>
        <v>0</v>
      </c>
      <c r="R64" s="678">
        <f>'[3]5.Bezpečnosť, právo a por.'!$AD$127</f>
        <v>0</v>
      </c>
      <c r="S64" s="679">
        <f>'[3]5.Bezpečnosť, právo a por.'!$AE$127</f>
        <v>0</v>
      </c>
    </row>
    <row r="65" spans="1:19" ht="15.75" x14ac:dyDescent="0.25">
      <c r="A65" s="125"/>
      <c r="B65" s="285" t="s">
        <v>227</v>
      </c>
      <c r="C65" s="286" t="s">
        <v>228</v>
      </c>
      <c r="D65" s="259">
        <f t="shared" ref="D65:G65" si="49">SUM(D66:D67)</f>
        <v>8000</v>
      </c>
      <c r="E65" s="257">
        <f t="shared" si="49"/>
        <v>8000</v>
      </c>
      <c r="F65" s="257">
        <f t="shared" si="49"/>
        <v>0</v>
      </c>
      <c r="G65" s="270">
        <f t="shared" si="49"/>
        <v>0</v>
      </c>
      <c r="H65" s="259">
        <f t="shared" ref="H65:K65" si="50">SUM(H66:H67)</f>
        <v>5772.6100000000006</v>
      </c>
      <c r="I65" s="257">
        <f t="shared" si="50"/>
        <v>5772.6100000000006</v>
      </c>
      <c r="J65" s="257">
        <f t="shared" si="50"/>
        <v>0</v>
      </c>
      <c r="K65" s="258">
        <f t="shared" si="50"/>
        <v>0</v>
      </c>
      <c r="L65" s="259">
        <f t="shared" ref="L65:S65" si="51">SUM(L66:L67)</f>
        <v>9187</v>
      </c>
      <c r="M65" s="257">
        <f t="shared" si="51"/>
        <v>9187</v>
      </c>
      <c r="N65" s="257">
        <f t="shared" si="51"/>
        <v>0</v>
      </c>
      <c r="O65" s="355">
        <f t="shared" si="51"/>
        <v>0</v>
      </c>
      <c r="P65" s="677">
        <f t="shared" si="51"/>
        <v>8384.32</v>
      </c>
      <c r="Q65" s="678">
        <f t="shared" si="51"/>
        <v>8384.32</v>
      </c>
      <c r="R65" s="678">
        <f t="shared" si="51"/>
        <v>0</v>
      </c>
      <c r="S65" s="679">
        <f t="shared" si="51"/>
        <v>0</v>
      </c>
    </row>
    <row r="66" spans="1:19" ht="15.75" x14ac:dyDescent="0.25">
      <c r="A66" s="125"/>
      <c r="B66" s="273">
        <v>1</v>
      </c>
      <c r="C66" s="274" t="s">
        <v>229</v>
      </c>
      <c r="D66" s="259">
        <f>SUM(E66:G66)</f>
        <v>5000</v>
      </c>
      <c r="E66" s="257">
        <f>'[1]5.Bezpečnosť, právo a por.'!$W$130</f>
        <v>5000</v>
      </c>
      <c r="F66" s="257">
        <f>'[1]5.Bezpečnosť, právo a por.'!$X$130</f>
        <v>0</v>
      </c>
      <c r="G66" s="270">
        <f>'[1]5.Bezpečnosť, právo a por.'!$Y$130</f>
        <v>0</v>
      </c>
      <c r="H66" s="259">
        <f>SUM(I66:K66)</f>
        <v>2772.61</v>
      </c>
      <c r="I66" s="257">
        <f>'[2]5.Bezpečnosť, právo a por.'!$W$130</f>
        <v>2772.61</v>
      </c>
      <c r="J66" s="257">
        <f>'[2]5.Bezpečnosť, právo a por.'!$X$130</f>
        <v>0</v>
      </c>
      <c r="K66" s="258">
        <f>'[2]5.Bezpečnosť, právo a por.'!$Y$130</f>
        <v>0</v>
      </c>
      <c r="L66" s="259">
        <f>SUM(M66:O66)</f>
        <v>6187</v>
      </c>
      <c r="M66" s="257">
        <f>'[3]5.Bezpečnosť, právo a por.'!$Z$131</f>
        <v>6187</v>
      </c>
      <c r="N66" s="257">
        <f>'[3]5.Bezpečnosť, právo a por.'!$AA$131</f>
        <v>0</v>
      </c>
      <c r="O66" s="355">
        <f>'[3]5.Bezpečnosť, právo a por.'!$AB$131</f>
        <v>0</v>
      </c>
      <c r="P66" s="677">
        <f>SUM(Q66:S66)</f>
        <v>5384.32</v>
      </c>
      <c r="Q66" s="678">
        <f>'[3]5.Bezpečnosť, právo a por.'!$AC$131</f>
        <v>5384.32</v>
      </c>
      <c r="R66" s="678">
        <f>'[3]5.Bezpečnosť, právo a por.'!$AD$131</f>
        <v>0</v>
      </c>
      <c r="S66" s="679">
        <f>'[3]5.Bezpečnosť, právo a por.'!$AE$131</f>
        <v>0</v>
      </c>
    </row>
    <row r="67" spans="1:19" ht="16.5" thickBot="1" x14ac:dyDescent="0.3">
      <c r="A67" s="125"/>
      <c r="B67" s="275">
        <v>2</v>
      </c>
      <c r="C67" s="361" t="s">
        <v>421</v>
      </c>
      <c r="D67" s="268">
        <f>SUM(E67:G67)</f>
        <v>3000</v>
      </c>
      <c r="E67" s="269">
        <f>'[1]5.Bezpečnosť, právo a por.'!$W$132</f>
        <v>3000</v>
      </c>
      <c r="F67" s="269">
        <f>'[1]5.Bezpečnosť, právo a por.'!$X$132</f>
        <v>0</v>
      </c>
      <c r="G67" s="360">
        <f>'[1]5.Bezpečnosť, právo a por.'!$Y$132</f>
        <v>0</v>
      </c>
      <c r="H67" s="268">
        <f>SUM(I67:K67)</f>
        <v>3000</v>
      </c>
      <c r="I67" s="269">
        <f>'[2]5.Bezpečnosť, právo a por.'!$W$132</f>
        <v>3000</v>
      </c>
      <c r="J67" s="269">
        <f>'[2]5.Bezpečnosť, právo a por.'!$X$132</f>
        <v>0</v>
      </c>
      <c r="K67" s="303">
        <f>'[2]5.Bezpečnosť, právo a por.'!$Y$132</f>
        <v>0</v>
      </c>
      <c r="L67" s="268">
        <f>SUM(M67:O67)</f>
        <v>3000</v>
      </c>
      <c r="M67" s="269">
        <f>'[3]5.Bezpečnosť, právo a por.'!$Z$133</f>
        <v>3000</v>
      </c>
      <c r="N67" s="269">
        <f>'[3]5.Bezpečnosť, právo a por.'!$AA$133</f>
        <v>0</v>
      </c>
      <c r="O67" s="479">
        <f>'[3]5.Bezpečnosť, právo a por.'!$AB$133</f>
        <v>0</v>
      </c>
      <c r="P67" s="680">
        <f>SUM(Q67:S67)</f>
        <v>3000</v>
      </c>
      <c r="Q67" s="681">
        <f>'[3]5.Bezpečnosť, právo a por.'!$AC$133</f>
        <v>3000</v>
      </c>
      <c r="R67" s="681">
        <f>'[3]5.Bezpečnosť, právo a por.'!$AD$133</f>
        <v>0</v>
      </c>
      <c r="S67" s="682">
        <f>'[3]5.Bezpečnosť, právo a por.'!$AE$133</f>
        <v>0</v>
      </c>
    </row>
    <row r="68" spans="1:19" s="123" customFormat="1" ht="15.75" x14ac:dyDescent="0.25">
      <c r="A68" s="125"/>
      <c r="B68" s="277" t="s">
        <v>231</v>
      </c>
      <c r="C68" s="278"/>
      <c r="D68" s="265">
        <f t="shared" ref="D68:S68" si="52">D69+D72+D75</f>
        <v>962534.77</v>
      </c>
      <c r="E68" s="266">
        <f t="shared" si="52"/>
        <v>871761.29</v>
      </c>
      <c r="F68" s="266">
        <f t="shared" si="52"/>
        <v>90773.48</v>
      </c>
      <c r="G68" s="341">
        <f t="shared" si="52"/>
        <v>0</v>
      </c>
      <c r="H68" s="265">
        <f t="shared" si="52"/>
        <v>1148137.26</v>
      </c>
      <c r="I68" s="266">
        <f t="shared" si="52"/>
        <v>1050010.92</v>
      </c>
      <c r="J68" s="266">
        <f t="shared" si="52"/>
        <v>98126.34</v>
      </c>
      <c r="K68" s="267">
        <f t="shared" si="52"/>
        <v>0</v>
      </c>
      <c r="L68" s="265">
        <f t="shared" si="52"/>
        <v>1185903</v>
      </c>
      <c r="M68" s="266">
        <f t="shared" si="52"/>
        <v>1185903</v>
      </c>
      <c r="N68" s="266">
        <f t="shared" si="52"/>
        <v>0</v>
      </c>
      <c r="O68" s="354">
        <f t="shared" si="52"/>
        <v>0</v>
      </c>
      <c r="P68" s="674">
        <f t="shared" si="52"/>
        <v>1170213.18</v>
      </c>
      <c r="Q68" s="675">
        <f t="shared" si="52"/>
        <v>1170213.18</v>
      </c>
      <c r="R68" s="675">
        <f t="shared" si="52"/>
        <v>0</v>
      </c>
      <c r="S68" s="676">
        <f t="shared" si="52"/>
        <v>0</v>
      </c>
    </row>
    <row r="69" spans="1:19" ht="15.75" x14ac:dyDescent="0.25">
      <c r="A69" s="124"/>
      <c r="B69" s="285" t="s">
        <v>232</v>
      </c>
      <c r="C69" s="286" t="s">
        <v>233</v>
      </c>
      <c r="D69" s="259">
        <f t="shared" ref="D69:G69" si="53">SUM(D70:D71)</f>
        <v>826396.02</v>
      </c>
      <c r="E69" s="257">
        <f t="shared" si="53"/>
        <v>735622.54</v>
      </c>
      <c r="F69" s="257">
        <f t="shared" si="53"/>
        <v>90773.48</v>
      </c>
      <c r="G69" s="270">
        <f t="shared" si="53"/>
        <v>0</v>
      </c>
      <c r="H69" s="259">
        <f t="shared" ref="H69:K69" si="54">SUM(H70:H71)</f>
        <v>1002886.52</v>
      </c>
      <c r="I69" s="257">
        <f t="shared" si="54"/>
        <v>904760.18</v>
      </c>
      <c r="J69" s="257">
        <f t="shared" si="54"/>
        <v>98126.34</v>
      </c>
      <c r="K69" s="258">
        <f t="shared" si="54"/>
        <v>0</v>
      </c>
      <c r="L69" s="259">
        <f t="shared" ref="L69:S69" si="55">SUM(L70:L71)</f>
        <v>998403</v>
      </c>
      <c r="M69" s="257">
        <f t="shared" si="55"/>
        <v>998403</v>
      </c>
      <c r="N69" s="257">
        <f t="shared" si="55"/>
        <v>0</v>
      </c>
      <c r="O69" s="355">
        <f t="shared" si="55"/>
        <v>0</v>
      </c>
      <c r="P69" s="677">
        <f t="shared" si="55"/>
        <v>990776.95999999985</v>
      </c>
      <c r="Q69" s="678">
        <f t="shared" si="55"/>
        <v>990776.95999999985</v>
      </c>
      <c r="R69" s="678">
        <f t="shared" si="55"/>
        <v>0</v>
      </c>
      <c r="S69" s="679">
        <f t="shared" si="55"/>
        <v>0</v>
      </c>
    </row>
    <row r="70" spans="1:19" ht="15.75" x14ac:dyDescent="0.25">
      <c r="B70" s="273">
        <v>1</v>
      </c>
      <c r="C70" s="286" t="s">
        <v>234</v>
      </c>
      <c r="D70" s="259">
        <f>SUM(E70:G70)</f>
        <v>99598.73</v>
      </c>
      <c r="E70" s="257">
        <f>'[1]6.Odpadové hospodárstvo'!$W$5</f>
        <v>8825.25</v>
      </c>
      <c r="F70" s="257">
        <f>'[1]6.Odpadové hospodárstvo'!$X$5</f>
        <v>90773.48</v>
      </c>
      <c r="G70" s="270">
        <f>'[1]6.Odpadové hospodárstvo'!$Y$5</f>
        <v>0</v>
      </c>
      <c r="H70" s="259">
        <f>SUM(I70:K70)</f>
        <v>101778.73</v>
      </c>
      <c r="I70" s="257">
        <f>'[2]6.Odpadové hospodárstvo'!$W$5</f>
        <v>3652.39</v>
      </c>
      <c r="J70" s="257">
        <f>'[2]6.Odpadové hospodárstvo'!$X$5</f>
        <v>98126.34</v>
      </c>
      <c r="K70" s="258">
        <f>'[2]6.Odpadové hospodárstvo'!$Y$5</f>
        <v>0</v>
      </c>
      <c r="L70" s="259">
        <f>SUM(M70:O70)</f>
        <v>7900</v>
      </c>
      <c r="M70" s="257">
        <f>'[3]6.Odpadové hospodárstvo'!$Z$5</f>
        <v>7900</v>
      </c>
      <c r="N70" s="257">
        <f>'[3]6.Odpadové hospodárstvo'!$AA$5</f>
        <v>0</v>
      </c>
      <c r="O70" s="355">
        <f>'[3]6.Odpadové hospodárstvo'!$AB$5</f>
        <v>0</v>
      </c>
      <c r="P70" s="677">
        <f>SUM(Q70:S70)</f>
        <v>7205.88</v>
      </c>
      <c r="Q70" s="678">
        <f>'[3]6.Odpadové hospodárstvo'!$AC$5</f>
        <v>7205.88</v>
      </c>
      <c r="R70" s="678">
        <f>'[3]6.Odpadové hospodárstvo'!$AD$5</f>
        <v>0</v>
      </c>
      <c r="S70" s="679">
        <f>'[3]6.Odpadové hospodárstvo'!$AE$5</f>
        <v>0</v>
      </c>
    </row>
    <row r="71" spans="1:19" ht="15.75" x14ac:dyDescent="0.25">
      <c r="B71" s="273">
        <v>2</v>
      </c>
      <c r="C71" s="274" t="s">
        <v>235</v>
      </c>
      <c r="D71" s="259">
        <f>SUM(E71:G71)</f>
        <v>726797.29</v>
      </c>
      <c r="E71" s="257">
        <f>'[1]6.Odpadové hospodárstvo'!$W$10</f>
        <v>726797.29</v>
      </c>
      <c r="F71" s="257">
        <f>'[1]6.Odpadové hospodárstvo'!$X$10</f>
        <v>0</v>
      </c>
      <c r="G71" s="270">
        <f>'[1]6.Odpadové hospodárstvo'!$Y$10</f>
        <v>0</v>
      </c>
      <c r="H71" s="259">
        <f>SUM(I71:K71)</f>
        <v>901107.79</v>
      </c>
      <c r="I71" s="257">
        <f>'[2]6.Odpadové hospodárstvo'!$W$10</f>
        <v>901107.79</v>
      </c>
      <c r="J71" s="257">
        <f>'[2]6.Odpadové hospodárstvo'!$X$10</f>
        <v>0</v>
      </c>
      <c r="K71" s="258">
        <f>'[2]6.Odpadové hospodárstvo'!$Y$10</f>
        <v>0</v>
      </c>
      <c r="L71" s="259">
        <f>SUM(M71:O71)</f>
        <v>990503</v>
      </c>
      <c r="M71" s="257">
        <f>'[3]6.Odpadové hospodárstvo'!$Z$10</f>
        <v>990503</v>
      </c>
      <c r="N71" s="257">
        <f>'[3]6.Odpadové hospodárstvo'!$AA$10</f>
        <v>0</v>
      </c>
      <c r="O71" s="355">
        <f>'[3]6.Odpadové hospodárstvo'!$AB$10</f>
        <v>0</v>
      </c>
      <c r="P71" s="677">
        <f>SUM(Q71:S71)</f>
        <v>983571.07999999984</v>
      </c>
      <c r="Q71" s="678">
        <f>'[3]6.Odpadové hospodárstvo'!$AC$10</f>
        <v>983571.07999999984</v>
      </c>
      <c r="R71" s="678">
        <f>'[3]6.Odpadové hospodárstvo'!$AD$10</f>
        <v>0</v>
      </c>
      <c r="S71" s="679">
        <f>'[3]6.Odpadové hospodárstvo'!$AE$10</f>
        <v>0</v>
      </c>
    </row>
    <row r="72" spans="1:19" ht="15.75" x14ac:dyDescent="0.25">
      <c r="B72" s="285" t="s">
        <v>236</v>
      </c>
      <c r="C72" s="274" t="s">
        <v>237</v>
      </c>
      <c r="D72" s="259">
        <f t="shared" ref="D72:G72" si="56">SUM(D73:D74)</f>
        <v>0</v>
      </c>
      <c r="E72" s="257">
        <f t="shared" si="56"/>
        <v>0</v>
      </c>
      <c r="F72" s="257">
        <f t="shared" si="56"/>
        <v>0</v>
      </c>
      <c r="G72" s="270">
        <f t="shared" si="56"/>
        <v>0</v>
      </c>
      <c r="H72" s="259">
        <f t="shared" ref="H72:K72" si="57">SUM(H73:H74)</f>
        <v>0</v>
      </c>
      <c r="I72" s="257">
        <f t="shared" si="57"/>
        <v>0</v>
      </c>
      <c r="J72" s="257">
        <f t="shared" si="57"/>
        <v>0</v>
      </c>
      <c r="K72" s="258">
        <f t="shared" si="57"/>
        <v>0</v>
      </c>
      <c r="L72" s="259">
        <f t="shared" ref="L72:S72" si="58">SUM(L73:L74)</f>
        <v>0</v>
      </c>
      <c r="M72" s="257">
        <f t="shared" si="58"/>
        <v>0</v>
      </c>
      <c r="N72" s="257">
        <f t="shared" si="58"/>
        <v>0</v>
      </c>
      <c r="O72" s="355">
        <f t="shared" si="58"/>
        <v>0</v>
      </c>
      <c r="P72" s="677">
        <f t="shared" si="58"/>
        <v>0</v>
      </c>
      <c r="Q72" s="678">
        <f t="shared" si="58"/>
        <v>0</v>
      </c>
      <c r="R72" s="678">
        <f t="shared" si="58"/>
        <v>0</v>
      </c>
      <c r="S72" s="679">
        <f t="shared" si="58"/>
        <v>0</v>
      </c>
    </row>
    <row r="73" spans="1:19" ht="15.75" x14ac:dyDescent="0.25">
      <c r="B73" s="273">
        <v>1</v>
      </c>
      <c r="C73" s="274" t="s">
        <v>238</v>
      </c>
      <c r="D73" s="259">
        <f>SUM(E73:G73)</f>
        <v>0</v>
      </c>
      <c r="E73" s="257">
        <f>'[1]6.Odpadové hospodárstvo'!$W$25</f>
        <v>0</v>
      </c>
      <c r="F73" s="257">
        <f>'[1]6.Odpadové hospodárstvo'!$X$25</f>
        <v>0</v>
      </c>
      <c r="G73" s="270">
        <f>'[1]6.Odpadové hospodárstvo'!$Y$25</f>
        <v>0</v>
      </c>
      <c r="H73" s="259">
        <f>SUM(I73:K73)</f>
        <v>0</v>
      </c>
      <c r="I73" s="257">
        <f>'[2]6.Odpadové hospodárstvo'!$W$26</f>
        <v>0</v>
      </c>
      <c r="J73" s="257">
        <f>'[2]6.Odpadové hospodárstvo'!$X$26</f>
        <v>0</v>
      </c>
      <c r="K73" s="258">
        <f>'[2]6.Odpadové hospodárstvo'!$Y$26</f>
        <v>0</v>
      </c>
      <c r="L73" s="259">
        <f>SUM(M73:O73)</f>
        <v>0</v>
      </c>
      <c r="M73" s="257">
        <f>'[3]6.Odpadové hospodárstvo'!$Z$26</f>
        <v>0</v>
      </c>
      <c r="N73" s="257">
        <f>'[3]6.Odpadové hospodárstvo'!$AA$26</f>
        <v>0</v>
      </c>
      <c r="O73" s="355">
        <f>'[3]6.Odpadové hospodárstvo'!$AB$26</f>
        <v>0</v>
      </c>
      <c r="P73" s="677">
        <f>SUM(Q73:S73)</f>
        <v>0</v>
      </c>
      <c r="Q73" s="678">
        <f>'[3]6.Odpadové hospodárstvo'!$AC$26</f>
        <v>0</v>
      </c>
      <c r="R73" s="678">
        <f>'[3]6.Odpadové hospodárstvo'!$AD$26</f>
        <v>0</v>
      </c>
      <c r="S73" s="679">
        <f>'[3]6.Odpadové hospodárstvo'!$AE$26</f>
        <v>0</v>
      </c>
    </row>
    <row r="74" spans="1:19" ht="15.75" x14ac:dyDescent="0.25">
      <c r="B74" s="273">
        <v>2</v>
      </c>
      <c r="C74" s="286" t="s">
        <v>239</v>
      </c>
      <c r="D74" s="259">
        <f>SUM(E74:G74)</f>
        <v>0</v>
      </c>
      <c r="E74" s="257">
        <f>'[1]6.Odpadové hospodárstvo'!$W$28</f>
        <v>0</v>
      </c>
      <c r="F74" s="257">
        <f>'[1]6.Odpadové hospodárstvo'!$X$28</f>
        <v>0</v>
      </c>
      <c r="G74" s="270">
        <f>'[1]6.Odpadové hospodárstvo'!$Y$28</f>
        <v>0</v>
      </c>
      <c r="H74" s="259">
        <f>SUM(I74:K74)</f>
        <v>0</v>
      </c>
      <c r="I74" s="257">
        <f>'[2]6.Odpadové hospodárstvo'!$W$29</f>
        <v>0</v>
      </c>
      <c r="J74" s="257">
        <f>'[2]6.Odpadové hospodárstvo'!$X$29</f>
        <v>0</v>
      </c>
      <c r="K74" s="258">
        <f>'[2]6.Odpadové hospodárstvo'!$Y$29</f>
        <v>0</v>
      </c>
      <c r="L74" s="259">
        <f>SUM(M74:O74)</f>
        <v>0</v>
      </c>
      <c r="M74" s="257">
        <f>'[3]6.Odpadové hospodárstvo'!$Z$29</f>
        <v>0</v>
      </c>
      <c r="N74" s="257">
        <f>'[3]6.Odpadové hospodárstvo'!$AA$29</f>
        <v>0</v>
      </c>
      <c r="O74" s="355">
        <f>'[3]6.Odpadové hospodárstvo'!$AB$29</f>
        <v>0</v>
      </c>
      <c r="P74" s="677">
        <f>SUM(Q74:S74)</f>
        <v>0</v>
      </c>
      <c r="Q74" s="678">
        <f>'[3]6.Odpadové hospodárstvo'!$AC$29</f>
        <v>0</v>
      </c>
      <c r="R74" s="678">
        <f>'[3]6.Odpadové hospodárstvo'!$AD$29</f>
        <v>0</v>
      </c>
      <c r="S74" s="679">
        <f>'[3]6.Odpadové hospodárstvo'!$AE$29</f>
        <v>0</v>
      </c>
    </row>
    <row r="75" spans="1:19" ht="16.5" thickBot="1" x14ac:dyDescent="0.3">
      <c r="B75" s="287" t="s">
        <v>240</v>
      </c>
      <c r="C75" s="288" t="s">
        <v>241</v>
      </c>
      <c r="D75" s="268">
        <f>SUM(E75:G75)</f>
        <v>136138.75</v>
      </c>
      <c r="E75" s="269">
        <f>'[1]6.Odpadové hospodárstvo'!$W$30</f>
        <v>136138.75</v>
      </c>
      <c r="F75" s="269">
        <f>'[1]6.Odpadové hospodárstvo'!$X$30</f>
        <v>0</v>
      </c>
      <c r="G75" s="360">
        <f>'[1]6.Odpadové hospodárstvo'!$Y$30</f>
        <v>0</v>
      </c>
      <c r="H75" s="268">
        <f>SUM(I75:K75)</f>
        <v>145250.74</v>
      </c>
      <c r="I75" s="269">
        <f>'[2]6.Odpadové hospodárstvo'!$W$31</f>
        <v>145250.74</v>
      </c>
      <c r="J75" s="269">
        <f>'[2]6.Odpadové hospodárstvo'!$X$31</f>
        <v>0</v>
      </c>
      <c r="K75" s="303">
        <f>'[2]6.Odpadové hospodárstvo'!$Y$31</f>
        <v>0</v>
      </c>
      <c r="L75" s="268">
        <f>SUM(M75:O75)</f>
        <v>187500</v>
      </c>
      <c r="M75" s="269">
        <f>'[3]6.Odpadové hospodárstvo'!$Z$31</f>
        <v>187500</v>
      </c>
      <c r="N75" s="269">
        <f>'[3]6.Odpadové hospodárstvo'!$AA$31</f>
        <v>0</v>
      </c>
      <c r="O75" s="479">
        <f>'[3]6.Odpadové hospodárstvo'!$AB$31</f>
        <v>0</v>
      </c>
      <c r="P75" s="680">
        <f>SUM(Q75:S75)</f>
        <v>179436.22</v>
      </c>
      <c r="Q75" s="681">
        <f>'[3]6.Odpadové hospodárstvo'!$AC$31</f>
        <v>179436.22</v>
      </c>
      <c r="R75" s="681">
        <f>'[3]6.Odpadové hospodárstvo'!$AD$31</f>
        <v>0</v>
      </c>
      <c r="S75" s="682">
        <f>'[3]6.Odpadové hospodárstvo'!$AE$31</f>
        <v>0</v>
      </c>
    </row>
    <row r="76" spans="1:19" s="123" customFormat="1" ht="15.75" x14ac:dyDescent="0.25">
      <c r="B76" s="277" t="s">
        <v>242</v>
      </c>
      <c r="C76" s="278"/>
      <c r="D76" s="265">
        <f t="shared" ref="D76:S76" si="59">D77+D85+D88</f>
        <v>621018.54000000015</v>
      </c>
      <c r="E76" s="266">
        <f t="shared" si="59"/>
        <v>481025.38</v>
      </c>
      <c r="F76" s="266">
        <f t="shared" si="59"/>
        <v>139993.16</v>
      </c>
      <c r="G76" s="341">
        <f t="shared" si="59"/>
        <v>0</v>
      </c>
      <c r="H76" s="265">
        <f t="shared" si="59"/>
        <v>750755.75999999989</v>
      </c>
      <c r="I76" s="266">
        <f t="shared" si="59"/>
        <v>493171.72000000003</v>
      </c>
      <c r="J76" s="266">
        <f t="shared" si="59"/>
        <v>257584.03999999998</v>
      </c>
      <c r="K76" s="267">
        <f t="shared" si="59"/>
        <v>0</v>
      </c>
      <c r="L76" s="265">
        <f t="shared" si="59"/>
        <v>6898450</v>
      </c>
      <c r="M76" s="266">
        <f t="shared" si="59"/>
        <v>486590</v>
      </c>
      <c r="N76" s="266">
        <f t="shared" si="59"/>
        <v>6411860</v>
      </c>
      <c r="O76" s="354">
        <f t="shared" si="59"/>
        <v>0</v>
      </c>
      <c r="P76" s="674">
        <f t="shared" si="59"/>
        <v>6812768.5099999998</v>
      </c>
      <c r="Q76" s="675">
        <f t="shared" si="59"/>
        <v>475721.72000000003</v>
      </c>
      <c r="R76" s="675">
        <f t="shared" si="59"/>
        <v>6337046.79</v>
      </c>
      <c r="S76" s="676">
        <f t="shared" si="59"/>
        <v>0</v>
      </c>
    </row>
    <row r="77" spans="1:19" ht="15.75" x14ac:dyDescent="0.25">
      <c r="B77" s="285" t="s">
        <v>243</v>
      </c>
      <c r="C77" s="274" t="s">
        <v>244</v>
      </c>
      <c r="D77" s="259">
        <f t="shared" ref="D77:G77" si="60">SUM(D78:D84)</f>
        <v>591470.57000000018</v>
      </c>
      <c r="E77" s="257">
        <f t="shared" si="60"/>
        <v>451477.41</v>
      </c>
      <c r="F77" s="257">
        <f t="shared" si="60"/>
        <v>139993.16</v>
      </c>
      <c r="G77" s="270">
        <f t="shared" si="60"/>
        <v>0</v>
      </c>
      <c r="H77" s="259">
        <f t="shared" ref="H77:K77" si="61">SUM(H78:H84)</f>
        <v>741273.29999999993</v>
      </c>
      <c r="I77" s="257">
        <f t="shared" si="61"/>
        <v>483689.26</v>
      </c>
      <c r="J77" s="257">
        <f t="shared" si="61"/>
        <v>257584.03999999998</v>
      </c>
      <c r="K77" s="258">
        <f t="shared" si="61"/>
        <v>0</v>
      </c>
      <c r="L77" s="259">
        <f t="shared" ref="L77:S77" si="62">SUM(L78:L84)</f>
        <v>728740</v>
      </c>
      <c r="M77" s="257">
        <f t="shared" si="62"/>
        <v>484940</v>
      </c>
      <c r="N77" s="257">
        <f t="shared" si="62"/>
        <v>243800</v>
      </c>
      <c r="O77" s="355">
        <f t="shared" si="62"/>
        <v>0</v>
      </c>
      <c r="P77" s="677">
        <f t="shared" si="62"/>
        <v>718456.26</v>
      </c>
      <c r="Q77" s="678">
        <f t="shared" si="62"/>
        <v>474797.72000000003</v>
      </c>
      <c r="R77" s="678">
        <f t="shared" si="62"/>
        <v>243658.53999999998</v>
      </c>
      <c r="S77" s="679">
        <f t="shared" si="62"/>
        <v>0</v>
      </c>
    </row>
    <row r="78" spans="1:19" ht="15.75" x14ac:dyDescent="0.25">
      <c r="B78" s="273">
        <v>1</v>
      </c>
      <c r="C78" s="274" t="s">
        <v>245</v>
      </c>
      <c r="D78" s="259">
        <f>SUM(E78:G78)</f>
        <v>0</v>
      </c>
      <c r="E78" s="257">
        <f>'[1]7.Komunikácie'!$W$5</f>
        <v>0</v>
      </c>
      <c r="F78" s="257">
        <f>'[1]7.Komunikácie'!$X$5</f>
        <v>0</v>
      </c>
      <c r="G78" s="270">
        <f>'[1]7.Komunikácie'!$Y$5</f>
        <v>0</v>
      </c>
      <c r="H78" s="259">
        <f>SUM(I78:K78)</f>
        <v>0</v>
      </c>
      <c r="I78" s="257">
        <f>'[2]7.Komunikácie'!$W$5</f>
        <v>0</v>
      </c>
      <c r="J78" s="257">
        <f>'[2]7.Komunikácie'!$X$5</f>
        <v>0</v>
      </c>
      <c r="K78" s="258">
        <f>'[2]7.Komunikácie'!$Y$5</f>
        <v>0</v>
      </c>
      <c r="L78" s="259">
        <f>SUM(M78:O78)</f>
        <v>0</v>
      </c>
      <c r="M78" s="257">
        <f>'[3]7.Komunikácie'!$Z$5</f>
        <v>0</v>
      </c>
      <c r="N78" s="257">
        <f>'[3]7.Komunikácie'!$AA$5</f>
        <v>0</v>
      </c>
      <c r="O78" s="355">
        <f>'[3]7.Komunikácie'!$AB$5</f>
        <v>0</v>
      </c>
      <c r="P78" s="677">
        <f>SUM(Q78:S78)</f>
        <v>0</v>
      </c>
      <c r="Q78" s="678">
        <f>'[3]7.Komunikácie'!$AC$5</f>
        <v>0</v>
      </c>
      <c r="R78" s="678">
        <f>'[3]7.Komunikácie'!$AD$5</f>
        <v>0</v>
      </c>
      <c r="S78" s="679">
        <f>'[3]7.Komunikácie'!$AE$5</f>
        <v>0</v>
      </c>
    </row>
    <row r="79" spans="1:19" ht="15.75" x14ac:dyDescent="0.25">
      <c r="B79" s="273">
        <v>2</v>
      </c>
      <c r="C79" s="274" t="s">
        <v>246</v>
      </c>
      <c r="D79" s="259">
        <f t="shared" ref="D79:D84" si="63">SUM(E79:G79)</f>
        <v>139993.16</v>
      </c>
      <c r="E79" s="257">
        <f>'[1]7.Komunikácie'!$W$7</f>
        <v>0</v>
      </c>
      <c r="F79" s="257">
        <f>'[1]7.Komunikácie'!$X$7</f>
        <v>139993.16</v>
      </c>
      <c r="G79" s="270">
        <f>'[1]7.Komunikácie'!$Y$7</f>
        <v>0</v>
      </c>
      <c r="H79" s="259">
        <f t="shared" ref="H79:H84" si="64">SUM(I79:K79)</f>
        <v>239576.87</v>
      </c>
      <c r="I79" s="257">
        <f>'[2]7.Komunikácie'!$W$7</f>
        <v>0</v>
      </c>
      <c r="J79" s="257">
        <f>'[2]7.Komunikácie'!$X$7</f>
        <v>239576.87</v>
      </c>
      <c r="K79" s="258">
        <f>'[2]7.Komunikácie'!$Y$7</f>
        <v>0</v>
      </c>
      <c r="L79" s="259">
        <f t="shared" ref="L79:L84" si="65">SUM(M79:O79)</f>
        <v>227000</v>
      </c>
      <c r="M79" s="257">
        <f>'[3]7.Komunikácie'!$Z$7</f>
        <v>0</v>
      </c>
      <c r="N79" s="257">
        <f>'[3]7.Komunikácie'!$AA$7</f>
        <v>227000</v>
      </c>
      <c r="O79" s="355">
        <f>'[3]7.Komunikácie'!$AB$7</f>
        <v>0</v>
      </c>
      <c r="P79" s="677">
        <f t="shared" ref="P79:P84" si="66">SUM(Q79:S79)</f>
        <v>226899.96</v>
      </c>
      <c r="Q79" s="678">
        <f>'[3]7.Komunikácie'!$AC$7</f>
        <v>0</v>
      </c>
      <c r="R79" s="678">
        <f>'[3]7.Komunikácie'!$AD$7</f>
        <v>226899.96</v>
      </c>
      <c r="S79" s="679">
        <f>'[3]7.Komunikácie'!$AE$7</f>
        <v>0</v>
      </c>
    </row>
    <row r="80" spans="1:19" ht="15.75" x14ac:dyDescent="0.25">
      <c r="B80" s="273">
        <v>3</v>
      </c>
      <c r="C80" s="274" t="s">
        <v>247</v>
      </c>
      <c r="D80" s="259">
        <f t="shared" si="63"/>
        <v>69700.92</v>
      </c>
      <c r="E80" s="257">
        <f>'[1]7.Komunikácie'!$W$15</f>
        <v>69700.92</v>
      </c>
      <c r="F80" s="257">
        <f>'[1]7.Komunikácie'!$X$15</f>
        <v>0</v>
      </c>
      <c r="G80" s="270">
        <f>'[1]7.Komunikácie'!$Y$15</f>
        <v>0</v>
      </c>
      <c r="H80" s="259">
        <f t="shared" si="64"/>
        <v>81820.800000000003</v>
      </c>
      <c r="I80" s="257">
        <f>'[2]7.Komunikácie'!$W$15</f>
        <v>81820.800000000003</v>
      </c>
      <c r="J80" s="257">
        <f>'[2]7.Komunikácie'!$X$15</f>
        <v>0</v>
      </c>
      <c r="K80" s="258">
        <f>'[2]7.Komunikácie'!$Y$15</f>
        <v>0</v>
      </c>
      <c r="L80" s="259">
        <f t="shared" si="65"/>
        <v>73000</v>
      </c>
      <c r="M80" s="257">
        <f>'[3]7.Komunikácie'!$Z$15</f>
        <v>73000</v>
      </c>
      <c r="N80" s="257">
        <f>'[3]7.Komunikácie'!$AA$15</f>
        <v>0</v>
      </c>
      <c r="O80" s="355">
        <f>'[3]7.Komunikácie'!$AB$15</f>
        <v>0</v>
      </c>
      <c r="P80" s="677">
        <f t="shared" si="66"/>
        <v>72088.56</v>
      </c>
      <c r="Q80" s="678">
        <f>'[3]7.Komunikácie'!$AC$15</f>
        <v>72088.56</v>
      </c>
      <c r="R80" s="678">
        <f>'[3]7.Komunikácie'!$AD$15</f>
        <v>0</v>
      </c>
      <c r="S80" s="679">
        <f>'[3]7.Komunikácie'!$AE$15</f>
        <v>0</v>
      </c>
    </row>
    <row r="81" spans="2:19" ht="15.75" x14ac:dyDescent="0.25">
      <c r="B81" s="273">
        <v>4</v>
      </c>
      <c r="C81" s="274" t="s">
        <v>248</v>
      </c>
      <c r="D81" s="259">
        <f t="shared" si="63"/>
        <v>267230.02</v>
      </c>
      <c r="E81" s="257">
        <f>'[1]7.Komunikácie'!$W$17</f>
        <v>267230.02</v>
      </c>
      <c r="F81" s="257">
        <f>'[1]7.Komunikácie'!$X$17</f>
        <v>0</v>
      </c>
      <c r="G81" s="270">
        <f>'[1]7.Komunikácie'!$Y$17</f>
        <v>0</v>
      </c>
      <c r="H81" s="259">
        <f t="shared" si="64"/>
        <v>278420.57</v>
      </c>
      <c r="I81" s="257">
        <f>'[2]7.Komunikácie'!$W$17</f>
        <v>278420.57</v>
      </c>
      <c r="J81" s="257">
        <f>'[2]7.Komunikácie'!$X$17</f>
        <v>0</v>
      </c>
      <c r="K81" s="258">
        <f>'[2]7.Komunikácie'!$Y$17</f>
        <v>0</v>
      </c>
      <c r="L81" s="259">
        <f t="shared" si="65"/>
        <v>300040</v>
      </c>
      <c r="M81" s="257">
        <f>'[3]7.Komunikácie'!$Z$17</f>
        <v>300040</v>
      </c>
      <c r="N81" s="257">
        <f>'[3]7.Komunikácie'!$AA$17</f>
        <v>0</v>
      </c>
      <c r="O81" s="355">
        <f>'[3]7.Komunikácie'!$AB$17</f>
        <v>0</v>
      </c>
      <c r="P81" s="677">
        <f t="shared" si="66"/>
        <v>300027.12</v>
      </c>
      <c r="Q81" s="678">
        <f>'[3]7.Komunikácie'!$AC$17</f>
        <v>300027.12</v>
      </c>
      <c r="R81" s="678">
        <f>'[3]7.Komunikácie'!$AD$17</f>
        <v>0</v>
      </c>
      <c r="S81" s="679">
        <f>'[3]7.Komunikácie'!$AE$17</f>
        <v>0</v>
      </c>
    </row>
    <row r="82" spans="2:19" ht="15.75" x14ac:dyDescent="0.25">
      <c r="B82" s="273">
        <v>5</v>
      </c>
      <c r="C82" s="274" t="s">
        <v>249</v>
      </c>
      <c r="D82" s="259">
        <f t="shared" si="63"/>
        <v>79756.25</v>
      </c>
      <c r="E82" s="257">
        <f>'[1]7.Komunikácie'!$W$19</f>
        <v>79756.25</v>
      </c>
      <c r="F82" s="257">
        <f>'[1]7.Komunikácie'!$X$19</f>
        <v>0</v>
      </c>
      <c r="G82" s="270">
        <f>'[1]7.Komunikácie'!$Y$19</f>
        <v>0</v>
      </c>
      <c r="H82" s="259">
        <f t="shared" si="64"/>
        <v>84723.44</v>
      </c>
      <c r="I82" s="257">
        <f>'[2]7.Komunikácie'!$W$19</f>
        <v>84723.44</v>
      </c>
      <c r="J82" s="257">
        <f>'[2]7.Komunikácie'!$X$19</f>
        <v>0</v>
      </c>
      <c r="K82" s="258">
        <f>'[2]7.Komunikácie'!$Y$19</f>
        <v>0</v>
      </c>
      <c r="L82" s="259">
        <f t="shared" si="65"/>
        <v>86100</v>
      </c>
      <c r="M82" s="257">
        <f>'[3]7.Komunikácie'!$Z$19</f>
        <v>86100</v>
      </c>
      <c r="N82" s="257">
        <f>'[3]7.Komunikácie'!$AA$19</f>
        <v>0</v>
      </c>
      <c r="O82" s="355">
        <f>'[3]7.Komunikácie'!$AB$19</f>
        <v>0</v>
      </c>
      <c r="P82" s="677">
        <f t="shared" si="66"/>
        <v>85994.010000000009</v>
      </c>
      <c r="Q82" s="678">
        <f>'[3]7.Komunikácie'!$AC$19</f>
        <v>85994.010000000009</v>
      </c>
      <c r="R82" s="678">
        <f>'[3]7.Komunikácie'!$AD$19</f>
        <v>0</v>
      </c>
      <c r="S82" s="679">
        <f>'[3]7.Komunikácie'!$AE$19</f>
        <v>0</v>
      </c>
    </row>
    <row r="83" spans="2:19" ht="15.75" x14ac:dyDescent="0.25">
      <c r="B83" s="273">
        <v>6</v>
      </c>
      <c r="C83" s="274" t="s">
        <v>250</v>
      </c>
      <c r="D83" s="259">
        <f t="shared" si="63"/>
        <v>26394.06</v>
      </c>
      <c r="E83" s="257">
        <f>'[1]7.Komunikácie'!$W$26</f>
        <v>26394.06</v>
      </c>
      <c r="F83" s="257">
        <f>'[1]7.Komunikácie'!$X$26</f>
        <v>0</v>
      </c>
      <c r="G83" s="270">
        <f>'[1]7.Komunikácie'!$Y$26</f>
        <v>0</v>
      </c>
      <c r="H83" s="259">
        <f t="shared" si="64"/>
        <v>27223.5</v>
      </c>
      <c r="I83" s="257">
        <f>'[2]7.Komunikácie'!$W$26</f>
        <v>27223.5</v>
      </c>
      <c r="J83" s="257">
        <f>'[2]7.Komunikácie'!$X$26</f>
        <v>0</v>
      </c>
      <c r="K83" s="258">
        <f>'[2]7.Komunikácie'!$Y$26</f>
        <v>0</v>
      </c>
      <c r="L83" s="259">
        <f t="shared" si="65"/>
        <v>20000</v>
      </c>
      <c r="M83" s="257">
        <f>'[3]7.Komunikácie'!$Z$26</f>
        <v>20000</v>
      </c>
      <c r="N83" s="257">
        <f>'[3]7.Komunikácie'!$AA$26</f>
        <v>0</v>
      </c>
      <c r="O83" s="355">
        <f>'[3]7.Komunikácie'!$AB$26</f>
        <v>0</v>
      </c>
      <c r="P83" s="677">
        <f t="shared" si="66"/>
        <v>10988</v>
      </c>
      <c r="Q83" s="678">
        <f>'[3]7.Komunikácie'!$AC$26</f>
        <v>10988</v>
      </c>
      <c r="R83" s="678">
        <f>'[3]7.Komunikácie'!$AD$26</f>
        <v>0</v>
      </c>
      <c r="S83" s="679">
        <f>'[3]7.Komunikácie'!$AE$26</f>
        <v>0</v>
      </c>
    </row>
    <row r="84" spans="2:19" ht="15.75" x14ac:dyDescent="0.25">
      <c r="B84" s="273">
        <v>7</v>
      </c>
      <c r="C84" s="274" t="s">
        <v>251</v>
      </c>
      <c r="D84" s="259">
        <f t="shared" si="63"/>
        <v>8396.16</v>
      </c>
      <c r="E84" s="257">
        <f>'[1]7.Komunikácie'!$W$28</f>
        <v>8396.16</v>
      </c>
      <c r="F84" s="257">
        <f>'[1]7.Komunikácie'!$X$28</f>
        <v>0</v>
      </c>
      <c r="G84" s="270">
        <f>'[1]7.Komunikácie'!$Y$28</f>
        <v>0</v>
      </c>
      <c r="H84" s="259">
        <f t="shared" si="64"/>
        <v>29508.12</v>
      </c>
      <c r="I84" s="257">
        <f>'[2]7.Komunikácie'!$W$28</f>
        <v>11500.95</v>
      </c>
      <c r="J84" s="257">
        <f>'[2]7.Komunikácie'!$X$28</f>
        <v>18007.169999999998</v>
      </c>
      <c r="K84" s="258">
        <f>'[2]7.Komunikácie'!$Y$28</f>
        <v>0</v>
      </c>
      <c r="L84" s="259">
        <f t="shared" si="65"/>
        <v>22600</v>
      </c>
      <c r="M84" s="257">
        <f>'[3]7.Komunikácie'!$Z$28</f>
        <v>5800</v>
      </c>
      <c r="N84" s="257">
        <f>'[3]7.Komunikácie'!$AA$28</f>
        <v>16800</v>
      </c>
      <c r="O84" s="355">
        <f>'[3]7.Komunikácie'!$AB$28</f>
        <v>0</v>
      </c>
      <c r="P84" s="677">
        <f t="shared" si="66"/>
        <v>22458.61</v>
      </c>
      <c r="Q84" s="678">
        <f>'[3]7.Komunikácie'!$AC$28</f>
        <v>5700.03</v>
      </c>
      <c r="R84" s="678">
        <f>'[3]7.Komunikácie'!$AD$28</f>
        <v>16758.580000000002</v>
      </c>
      <c r="S84" s="679">
        <f>'[3]7.Komunikácie'!$AE$28</f>
        <v>0</v>
      </c>
    </row>
    <row r="85" spans="2:19" ht="15.75" x14ac:dyDescent="0.25">
      <c r="B85" s="285" t="s">
        <v>252</v>
      </c>
      <c r="C85" s="274" t="s">
        <v>253</v>
      </c>
      <c r="D85" s="259">
        <f t="shared" ref="D85:G85" si="67">SUM(D86:D87)</f>
        <v>29547.97</v>
      </c>
      <c r="E85" s="257">
        <f t="shared" si="67"/>
        <v>29547.97</v>
      </c>
      <c r="F85" s="257">
        <f t="shared" si="67"/>
        <v>0</v>
      </c>
      <c r="G85" s="270">
        <f t="shared" si="67"/>
        <v>0</v>
      </c>
      <c r="H85" s="259">
        <f t="shared" ref="H85:K85" si="68">SUM(H86:H87)</f>
        <v>9482.4599999999991</v>
      </c>
      <c r="I85" s="257">
        <f t="shared" si="68"/>
        <v>9482.4599999999991</v>
      </c>
      <c r="J85" s="257">
        <f t="shared" si="68"/>
        <v>0</v>
      </c>
      <c r="K85" s="258">
        <f t="shared" si="68"/>
        <v>0</v>
      </c>
      <c r="L85" s="259">
        <f t="shared" ref="L85:S85" si="69">SUM(L86:L87)</f>
        <v>0</v>
      </c>
      <c r="M85" s="257">
        <f t="shared" si="69"/>
        <v>0</v>
      </c>
      <c r="N85" s="257">
        <f t="shared" si="69"/>
        <v>0</v>
      </c>
      <c r="O85" s="355">
        <f t="shared" si="69"/>
        <v>0</v>
      </c>
      <c r="P85" s="677">
        <f t="shared" si="69"/>
        <v>0</v>
      </c>
      <c r="Q85" s="678">
        <f t="shared" si="69"/>
        <v>0</v>
      </c>
      <c r="R85" s="678">
        <f t="shared" si="69"/>
        <v>0</v>
      </c>
      <c r="S85" s="679">
        <f t="shared" si="69"/>
        <v>0</v>
      </c>
    </row>
    <row r="86" spans="2:19" ht="15.75" x14ac:dyDescent="0.25">
      <c r="B86" s="273">
        <v>1</v>
      </c>
      <c r="C86" s="274" t="s">
        <v>254</v>
      </c>
      <c r="D86" s="259">
        <f>SUM(E86:G86)</f>
        <v>0</v>
      </c>
      <c r="E86" s="257">
        <f>'[1]7.Komunikácie'!$W$31</f>
        <v>0</v>
      </c>
      <c r="F86" s="257">
        <f>'[1]7.Komunikácie'!$X$31</f>
        <v>0</v>
      </c>
      <c r="G86" s="270">
        <f>'[1]7.Komunikácie'!$Y$31</f>
        <v>0</v>
      </c>
      <c r="H86" s="259">
        <f>SUM(I86:K86)</f>
        <v>0</v>
      </c>
      <c r="I86" s="257">
        <f>'[2]7.Komunikácie'!$W$31</f>
        <v>0</v>
      </c>
      <c r="J86" s="257">
        <f>'[2]7.Komunikácie'!$X$31</f>
        <v>0</v>
      </c>
      <c r="K86" s="258">
        <f>'[2]7.Komunikácie'!$Y$31</f>
        <v>0</v>
      </c>
      <c r="L86" s="259">
        <f>SUM(M86:O86)</f>
        <v>0</v>
      </c>
      <c r="M86" s="257">
        <f>'[3]7.Komunikácie'!$Z$31</f>
        <v>0</v>
      </c>
      <c r="N86" s="257">
        <f>'[3]7.Komunikácie'!$AA$31</f>
        <v>0</v>
      </c>
      <c r="O86" s="355">
        <f>'[3]7.Komunikácie'!$AB$31</f>
        <v>0</v>
      </c>
      <c r="P86" s="677">
        <f>SUM(Q86:S86)</f>
        <v>0</v>
      </c>
      <c r="Q86" s="678">
        <f>'[3]7.Komunikácie'!$AC$31</f>
        <v>0</v>
      </c>
      <c r="R86" s="678">
        <f>'[3]7.Komunikácie'!$AD$31</f>
        <v>0</v>
      </c>
      <c r="S86" s="679">
        <f>'[3]7.Komunikácie'!$AE$31</f>
        <v>0</v>
      </c>
    </row>
    <row r="87" spans="2:19" ht="15.75" x14ac:dyDescent="0.25">
      <c r="B87" s="273">
        <v>2</v>
      </c>
      <c r="C87" s="274" t="s">
        <v>255</v>
      </c>
      <c r="D87" s="259">
        <f>SUM(E87:G87)</f>
        <v>29547.97</v>
      </c>
      <c r="E87" s="257">
        <f>'[1]7.Komunikácie'!$W$33</f>
        <v>29547.97</v>
      </c>
      <c r="F87" s="257">
        <f>'[1]7.Komunikácie'!$X$33</f>
        <v>0</v>
      </c>
      <c r="G87" s="270">
        <f>'[1]7.Komunikácie'!$Y$33</f>
        <v>0</v>
      </c>
      <c r="H87" s="259">
        <f>SUM(I87:K87)</f>
        <v>9482.4599999999991</v>
      </c>
      <c r="I87" s="257">
        <f>'[2]7.Komunikácie'!$W$33</f>
        <v>9482.4599999999991</v>
      </c>
      <c r="J87" s="257">
        <f>'[2]7.Komunikácie'!$X$33</f>
        <v>0</v>
      </c>
      <c r="K87" s="258">
        <f>'[2]7.Komunikácie'!$Y$33</f>
        <v>0</v>
      </c>
      <c r="L87" s="259">
        <f>SUM(M87:O87)</f>
        <v>0</v>
      </c>
      <c r="M87" s="257">
        <f>'[3]7.Komunikácie'!$Z$33</f>
        <v>0</v>
      </c>
      <c r="N87" s="257">
        <f>'[3]7.Komunikácie'!$AA$33</f>
        <v>0</v>
      </c>
      <c r="O87" s="355">
        <f>'[3]7.Komunikácie'!$AB$33</f>
        <v>0</v>
      </c>
      <c r="P87" s="677">
        <f>SUM(Q87:S87)</f>
        <v>0</v>
      </c>
      <c r="Q87" s="678">
        <f>'[3]7.Komunikácie'!$AC$33</f>
        <v>0</v>
      </c>
      <c r="R87" s="678">
        <f>'[3]7.Komunikácie'!$AD$33</f>
        <v>0</v>
      </c>
      <c r="S87" s="679">
        <f>'[3]7.Komunikácie'!$AE$33</f>
        <v>0</v>
      </c>
    </row>
    <row r="88" spans="2:19" ht="15.75" outlineLevel="1" x14ac:dyDescent="0.25">
      <c r="B88" s="285" t="s">
        <v>256</v>
      </c>
      <c r="C88" s="274" t="s">
        <v>257</v>
      </c>
      <c r="D88" s="259">
        <f t="shared" ref="D88:G88" si="70">SUM(D89:D90)</f>
        <v>0</v>
      </c>
      <c r="E88" s="257">
        <f t="shared" si="70"/>
        <v>0</v>
      </c>
      <c r="F88" s="257">
        <f t="shared" si="70"/>
        <v>0</v>
      </c>
      <c r="G88" s="270">
        <f t="shared" si="70"/>
        <v>0</v>
      </c>
      <c r="H88" s="259">
        <f t="shared" ref="H88:K88" si="71">SUM(H89:H90)</f>
        <v>0</v>
      </c>
      <c r="I88" s="257">
        <f t="shared" si="71"/>
        <v>0</v>
      </c>
      <c r="J88" s="257">
        <f t="shared" si="71"/>
        <v>0</v>
      </c>
      <c r="K88" s="258">
        <f t="shared" si="71"/>
        <v>0</v>
      </c>
      <c r="L88" s="259">
        <f t="shared" ref="L88:S88" si="72">SUM(L89:L90)</f>
        <v>6169710</v>
      </c>
      <c r="M88" s="257">
        <f t="shared" si="72"/>
        <v>1650</v>
      </c>
      <c r="N88" s="257">
        <f t="shared" si="72"/>
        <v>6168060</v>
      </c>
      <c r="O88" s="355">
        <f t="shared" si="72"/>
        <v>0</v>
      </c>
      <c r="P88" s="677">
        <f t="shared" si="72"/>
        <v>6094312.25</v>
      </c>
      <c r="Q88" s="678">
        <f t="shared" si="72"/>
        <v>924</v>
      </c>
      <c r="R88" s="678">
        <f t="shared" si="72"/>
        <v>6093388.25</v>
      </c>
      <c r="S88" s="679">
        <f t="shared" si="72"/>
        <v>0</v>
      </c>
    </row>
    <row r="89" spans="2:19" ht="15.75" outlineLevel="1" x14ac:dyDescent="0.25">
      <c r="B89" s="273">
        <v>1</v>
      </c>
      <c r="C89" s="274" t="s">
        <v>258</v>
      </c>
      <c r="D89" s="259">
        <f>SUM(E89:G89)</f>
        <v>0</v>
      </c>
      <c r="E89" s="257">
        <f>'[1]7.Komunikácie'!$W$36</f>
        <v>0</v>
      </c>
      <c r="F89" s="257">
        <f>'[1]7.Komunikácie'!$X$36</f>
        <v>0</v>
      </c>
      <c r="G89" s="270">
        <f>'[1]7.Komunikácie'!$Y$36</f>
        <v>0</v>
      </c>
      <c r="H89" s="259">
        <f>SUM(I89:K89)</f>
        <v>0</v>
      </c>
      <c r="I89" s="257">
        <f>'[2]7.Komunikácie'!$W$36</f>
        <v>0</v>
      </c>
      <c r="J89" s="257">
        <f>'[2]7.Komunikácie'!$X$36</f>
        <v>0</v>
      </c>
      <c r="K89" s="258">
        <f>'[2]7.Komunikácie'!$Y$36</f>
        <v>0</v>
      </c>
      <c r="L89" s="259">
        <f>SUM(M89:O89)</f>
        <v>6169710</v>
      </c>
      <c r="M89" s="257">
        <f>'[3]7.Komunikácie'!$Z$36</f>
        <v>1650</v>
      </c>
      <c r="N89" s="257">
        <f>'[3]7.Komunikácie'!$AA$36</f>
        <v>6168060</v>
      </c>
      <c r="O89" s="355">
        <f>'[3]7.Komunikácie'!$AB$36</f>
        <v>0</v>
      </c>
      <c r="P89" s="677">
        <f>SUM(Q89:S89)</f>
        <v>6094312.25</v>
      </c>
      <c r="Q89" s="678">
        <f>'[3]7.Komunikácie'!$AC$36</f>
        <v>924</v>
      </c>
      <c r="R89" s="678">
        <f>'[3]7.Komunikácie'!$AD$36</f>
        <v>6093388.25</v>
      </c>
      <c r="S89" s="679">
        <f>'[3]7.Komunikácie'!$AE$36</f>
        <v>0</v>
      </c>
    </row>
    <row r="90" spans="2:19" ht="16.5" outlineLevel="1" thickBot="1" x14ac:dyDescent="0.3">
      <c r="B90" s="275">
        <v>2</v>
      </c>
      <c r="C90" s="276" t="s">
        <v>259</v>
      </c>
      <c r="D90" s="268">
        <f>SUM(E90:G90)</f>
        <v>0</v>
      </c>
      <c r="E90" s="269">
        <f>'[1]7.Komunikácie'!$W$39</f>
        <v>0</v>
      </c>
      <c r="F90" s="269">
        <f>'[1]7.Komunikácie'!$X$39</f>
        <v>0</v>
      </c>
      <c r="G90" s="360">
        <f>'[1]7.Komunikácie'!$Y$39</f>
        <v>0</v>
      </c>
      <c r="H90" s="268">
        <f>SUM(I90:K90)</f>
        <v>0</v>
      </c>
      <c r="I90" s="269">
        <f>'[2]7.Komunikácie'!$W$39</f>
        <v>0</v>
      </c>
      <c r="J90" s="269">
        <f>'[2]7.Komunikácie'!$X$39</f>
        <v>0</v>
      </c>
      <c r="K90" s="303">
        <f>'[2]7.Komunikácie'!$Y$39</f>
        <v>0</v>
      </c>
      <c r="L90" s="268">
        <f>SUM(M90:O90)</f>
        <v>0</v>
      </c>
      <c r="M90" s="269">
        <f>'[3]7.Komunikácie'!$Z$39</f>
        <v>0</v>
      </c>
      <c r="N90" s="269">
        <f>'[3]7.Komunikácie'!$AA$39</f>
        <v>0</v>
      </c>
      <c r="O90" s="479">
        <f>'[3]7.Komunikácie'!$AB$39</f>
        <v>0</v>
      </c>
      <c r="P90" s="680">
        <f>SUM(Q90:S90)</f>
        <v>0</v>
      </c>
      <c r="Q90" s="681">
        <f>'[3]7.Komunikácie'!$AC$39</f>
        <v>0</v>
      </c>
      <c r="R90" s="681">
        <f>'[3]7.Komunikácie'!$AD$39</f>
        <v>0</v>
      </c>
      <c r="S90" s="682">
        <f>'[3]7.Komunikácie'!$AE$39</f>
        <v>0</v>
      </c>
    </row>
    <row r="91" spans="2:19" s="123" customFormat="1" ht="15.75" x14ac:dyDescent="0.25">
      <c r="B91" s="277" t="s">
        <v>260</v>
      </c>
      <c r="C91" s="278"/>
      <c r="D91" s="265">
        <f t="shared" ref="D91:S91" si="73">D92+D93</f>
        <v>150295.24</v>
      </c>
      <c r="E91" s="266">
        <f t="shared" si="73"/>
        <v>150295.24</v>
      </c>
      <c r="F91" s="266">
        <f t="shared" si="73"/>
        <v>0</v>
      </c>
      <c r="G91" s="341">
        <f t="shared" si="73"/>
        <v>0</v>
      </c>
      <c r="H91" s="265">
        <f t="shared" si="73"/>
        <v>154915.03</v>
      </c>
      <c r="I91" s="266">
        <f t="shared" si="73"/>
        <v>154915.03</v>
      </c>
      <c r="J91" s="266">
        <f t="shared" si="73"/>
        <v>0</v>
      </c>
      <c r="K91" s="267">
        <f t="shared" si="73"/>
        <v>0</v>
      </c>
      <c r="L91" s="265">
        <f t="shared" si="73"/>
        <v>201000</v>
      </c>
      <c r="M91" s="266">
        <f t="shared" si="73"/>
        <v>201000</v>
      </c>
      <c r="N91" s="266">
        <f t="shared" si="73"/>
        <v>0</v>
      </c>
      <c r="O91" s="354">
        <f t="shared" si="73"/>
        <v>0</v>
      </c>
      <c r="P91" s="674">
        <f t="shared" si="73"/>
        <v>200979.3</v>
      </c>
      <c r="Q91" s="675">
        <f t="shared" si="73"/>
        <v>200979.3</v>
      </c>
      <c r="R91" s="675">
        <f t="shared" si="73"/>
        <v>0</v>
      </c>
      <c r="S91" s="676">
        <f t="shared" si="73"/>
        <v>0</v>
      </c>
    </row>
    <row r="92" spans="2:19" ht="15.75" x14ac:dyDescent="0.25">
      <c r="B92" s="285" t="s">
        <v>261</v>
      </c>
      <c r="C92" s="274" t="s">
        <v>262</v>
      </c>
      <c r="D92" s="259">
        <f>SUM(E92:G92)</f>
        <v>150295.24</v>
      </c>
      <c r="E92" s="257">
        <f>'[1]8.Doprava'!$W$4</f>
        <v>150295.24</v>
      </c>
      <c r="F92" s="257">
        <f>'[1]8.Doprava'!$X$4</f>
        <v>0</v>
      </c>
      <c r="G92" s="270">
        <f>'[1]8.Doprava'!$Y$4</f>
        <v>0</v>
      </c>
      <c r="H92" s="259">
        <f>SUM(I92:K92)</f>
        <v>154445.03</v>
      </c>
      <c r="I92" s="257">
        <f>'[2]8.Doprava'!$W$4</f>
        <v>154445.03</v>
      </c>
      <c r="J92" s="257">
        <f>'[2]8.Doprava'!$X$4</f>
        <v>0</v>
      </c>
      <c r="K92" s="258">
        <f>'[2]8.Doprava'!$Y$4</f>
        <v>0</v>
      </c>
      <c r="L92" s="259">
        <f>SUM(M92:O92)</f>
        <v>201000</v>
      </c>
      <c r="M92" s="257">
        <f>'[3]8.Doprava'!$Z$4</f>
        <v>201000</v>
      </c>
      <c r="N92" s="257">
        <f>'[3]8.Doprava'!$AA$4</f>
        <v>0</v>
      </c>
      <c r="O92" s="355">
        <f>'[3]8.Doprava'!$AB$4</f>
        <v>0</v>
      </c>
      <c r="P92" s="677">
        <f>SUM(Q92:S92)</f>
        <v>200979.3</v>
      </c>
      <c r="Q92" s="678">
        <f>'[3]8.Doprava'!$AC$4</f>
        <v>200979.3</v>
      </c>
      <c r="R92" s="678">
        <f>'[3]8.Doprava'!$AD$4</f>
        <v>0</v>
      </c>
      <c r="S92" s="679">
        <f>'[3]8.Doprava'!$AE$4</f>
        <v>0</v>
      </c>
    </row>
    <row r="93" spans="2:19" ht="15.75" x14ac:dyDescent="0.25">
      <c r="B93" s="285" t="s">
        <v>263</v>
      </c>
      <c r="C93" s="274" t="s">
        <v>264</v>
      </c>
      <c r="D93" s="259">
        <f t="shared" ref="D93:G93" si="74">SUM(D94)</f>
        <v>0</v>
      </c>
      <c r="E93" s="257">
        <f t="shared" si="74"/>
        <v>0</v>
      </c>
      <c r="F93" s="257">
        <f t="shared" si="74"/>
        <v>0</v>
      </c>
      <c r="G93" s="270">
        <f t="shared" si="74"/>
        <v>0</v>
      </c>
      <c r="H93" s="259">
        <f>SUM(H94)</f>
        <v>470</v>
      </c>
      <c r="I93" s="257">
        <f t="shared" ref="I93:S93" si="75">SUM(I94)</f>
        <v>470</v>
      </c>
      <c r="J93" s="257">
        <f t="shared" si="75"/>
        <v>0</v>
      </c>
      <c r="K93" s="258">
        <f t="shared" si="75"/>
        <v>0</v>
      </c>
      <c r="L93" s="259">
        <f>SUM(L94)</f>
        <v>0</v>
      </c>
      <c r="M93" s="257">
        <f t="shared" si="75"/>
        <v>0</v>
      </c>
      <c r="N93" s="257">
        <f t="shared" si="75"/>
        <v>0</v>
      </c>
      <c r="O93" s="355">
        <f t="shared" si="75"/>
        <v>0</v>
      </c>
      <c r="P93" s="677">
        <f>SUM(P94)</f>
        <v>0</v>
      </c>
      <c r="Q93" s="678">
        <f t="shared" si="75"/>
        <v>0</v>
      </c>
      <c r="R93" s="678">
        <f t="shared" si="75"/>
        <v>0</v>
      </c>
      <c r="S93" s="679">
        <f t="shared" si="75"/>
        <v>0</v>
      </c>
    </row>
    <row r="94" spans="2:19" ht="16.5" thickBot="1" x14ac:dyDescent="0.3">
      <c r="B94" s="275">
        <v>1</v>
      </c>
      <c r="C94" s="276" t="s">
        <v>265</v>
      </c>
      <c r="D94" s="268">
        <f>SUM(E94:G94)</f>
        <v>0</v>
      </c>
      <c r="E94" s="269">
        <f>'[1]8.Doprava'!$W$7</f>
        <v>0</v>
      </c>
      <c r="F94" s="269">
        <f>'[1]8.Doprava'!$X$7</f>
        <v>0</v>
      </c>
      <c r="G94" s="360">
        <f>'[1]8.Doprava'!$Y$7</f>
        <v>0</v>
      </c>
      <c r="H94" s="268">
        <f>SUM(I94:K94)</f>
        <v>470</v>
      </c>
      <c r="I94" s="269">
        <f>'[2]8.Doprava'!$W$7</f>
        <v>470</v>
      </c>
      <c r="J94" s="269">
        <f>'[2]8.Doprava'!$X$7</f>
        <v>0</v>
      </c>
      <c r="K94" s="303">
        <f>'[2]8.Doprava'!$Y$7</f>
        <v>0</v>
      </c>
      <c r="L94" s="268">
        <f>SUM(M94:O94)</f>
        <v>0</v>
      </c>
      <c r="M94" s="269">
        <f>'[3]8.Doprava'!$Z$7</f>
        <v>0</v>
      </c>
      <c r="N94" s="269">
        <f>'[3]8.Doprava'!$AA$7</f>
        <v>0</v>
      </c>
      <c r="O94" s="479">
        <f>'[3]8.Doprava'!$AB$7</f>
        <v>0</v>
      </c>
      <c r="P94" s="680">
        <f>SUM(Q94:S94)</f>
        <v>0</v>
      </c>
      <c r="Q94" s="681">
        <f>'[3]8.Doprava'!$AC$7</f>
        <v>0</v>
      </c>
      <c r="R94" s="681">
        <f>'[3]8.Doprava'!$AD$7</f>
        <v>0</v>
      </c>
      <c r="S94" s="682">
        <f>'[3]8.Doprava'!$AE$7</f>
        <v>0</v>
      </c>
    </row>
    <row r="95" spans="2:19" s="123" customFormat="1" ht="15.75" x14ac:dyDescent="0.25">
      <c r="B95" s="277" t="s">
        <v>266</v>
      </c>
      <c r="C95" s="278"/>
      <c r="D95" s="265">
        <f t="shared" ref="D95:S95" si="76">D96+D97+D106+D113+D116+D117+D118+D119</f>
        <v>10022937.869999999</v>
      </c>
      <c r="E95" s="266">
        <f t="shared" si="76"/>
        <v>9836651.0700000003</v>
      </c>
      <c r="F95" s="266">
        <f t="shared" si="76"/>
        <v>186286.80000000002</v>
      </c>
      <c r="G95" s="341">
        <f t="shared" si="76"/>
        <v>0</v>
      </c>
      <c r="H95" s="265">
        <f t="shared" si="76"/>
        <v>11526256.340000002</v>
      </c>
      <c r="I95" s="266">
        <f t="shared" si="76"/>
        <v>11173608.680000002</v>
      </c>
      <c r="J95" s="266">
        <f t="shared" si="76"/>
        <v>352647.66000000003</v>
      </c>
      <c r="K95" s="267">
        <f t="shared" si="76"/>
        <v>0</v>
      </c>
      <c r="L95" s="265">
        <f t="shared" si="76"/>
        <v>13372835</v>
      </c>
      <c r="M95" s="266">
        <f t="shared" si="76"/>
        <v>13241871</v>
      </c>
      <c r="N95" s="266">
        <f t="shared" si="76"/>
        <v>130964</v>
      </c>
      <c r="O95" s="354">
        <f t="shared" si="76"/>
        <v>0</v>
      </c>
      <c r="P95" s="674">
        <f t="shared" si="76"/>
        <v>12860939.989999998</v>
      </c>
      <c r="Q95" s="675">
        <f t="shared" si="76"/>
        <v>12790270.069999998</v>
      </c>
      <c r="R95" s="675">
        <f t="shared" si="76"/>
        <v>70669.919999999998</v>
      </c>
      <c r="S95" s="676">
        <f t="shared" si="76"/>
        <v>0</v>
      </c>
    </row>
    <row r="96" spans="2:19" ht="15.75" x14ac:dyDescent="0.25">
      <c r="B96" s="285" t="s">
        <v>267</v>
      </c>
      <c r="C96" s="274" t="s">
        <v>268</v>
      </c>
      <c r="D96" s="259">
        <f>SUM(E96:G96)</f>
        <v>3597.5100000000007</v>
      </c>
      <c r="E96" s="257">
        <f>'[1]9. Vzdelávanie'!$W$4</f>
        <v>3597.5100000000007</v>
      </c>
      <c r="F96" s="257">
        <f>'[1]9. Vzdelávanie'!$X$4</f>
        <v>0</v>
      </c>
      <c r="G96" s="270">
        <f>'[1]9. Vzdelávanie'!$Y$4</f>
        <v>0</v>
      </c>
      <c r="H96" s="259">
        <f>SUM(I96:K96)</f>
        <v>4748.91</v>
      </c>
      <c r="I96" s="257">
        <f>'[2]9. Vzdelávanie'!$W$4</f>
        <v>4748.91</v>
      </c>
      <c r="J96" s="257">
        <f>'[2]9. Vzdelávanie'!$X$4</f>
        <v>0</v>
      </c>
      <c r="K96" s="258">
        <f>'[2]9. Vzdelávanie'!$Y$4</f>
        <v>0</v>
      </c>
      <c r="L96" s="259">
        <f>SUM(M96:O96)</f>
        <v>5000</v>
      </c>
      <c r="M96" s="257">
        <f>'[3]9. Vzdelávanie'!$Z$4</f>
        <v>5000</v>
      </c>
      <c r="N96" s="257">
        <f>'[3]9. Vzdelávanie'!$AA$4</f>
        <v>0</v>
      </c>
      <c r="O96" s="355">
        <f>'[3]9. Vzdelávanie'!$AB$4</f>
        <v>0</v>
      </c>
      <c r="P96" s="677">
        <f>SUM(Q96:S96)</f>
        <v>4601.3200000000006</v>
      </c>
      <c r="Q96" s="678">
        <f>'[3]9. Vzdelávanie'!$AC$4</f>
        <v>4601.3200000000006</v>
      </c>
      <c r="R96" s="678">
        <f>'[3]9. Vzdelávanie'!$AD$4</f>
        <v>0</v>
      </c>
      <c r="S96" s="679">
        <f>'[3]9. Vzdelávanie'!$AE$4</f>
        <v>0</v>
      </c>
    </row>
    <row r="97" spans="1:19" ht="15.75" x14ac:dyDescent="0.25">
      <c r="B97" s="285" t="s">
        <v>269</v>
      </c>
      <c r="C97" s="274" t="s">
        <v>270</v>
      </c>
      <c r="D97" s="259">
        <f t="shared" ref="D97:G97" si="77">SUM(D98:D105)</f>
        <v>1888862.08</v>
      </c>
      <c r="E97" s="257">
        <f t="shared" si="77"/>
        <v>1805760</v>
      </c>
      <c r="F97" s="257">
        <f t="shared" si="77"/>
        <v>83102.080000000002</v>
      </c>
      <c r="G97" s="270">
        <f t="shared" si="77"/>
        <v>0</v>
      </c>
      <c r="H97" s="259">
        <f t="shared" ref="H97:K97" si="78">SUM(H98:H105)</f>
        <v>2108317.7599999998</v>
      </c>
      <c r="I97" s="257">
        <f t="shared" si="78"/>
        <v>2028618</v>
      </c>
      <c r="J97" s="257">
        <f t="shared" si="78"/>
        <v>79699.759999999995</v>
      </c>
      <c r="K97" s="258">
        <f t="shared" si="78"/>
        <v>0</v>
      </c>
      <c r="L97" s="259">
        <f t="shared" ref="L97:S97" si="79">SUM(L98:L105)</f>
        <v>2261735</v>
      </c>
      <c r="M97" s="257">
        <f t="shared" si="79"/>
        <v>2241735</v>
      </c>
      <c r="N97" s="257">
        <f t="shared" si="79"/>
        <v>20000</v>
      </c>
      <c r="O97" s="355">
        <f t="shared" si="79"/>
        <v>0</v>
      </c>
      <c r="P97" s="677">
        <f t="shared" si="79"/>
        <v>2261663</v>
      </c>
      <c r="Q97" s="678">
        <f t="shared" si="79"/>
        <v>2241735</v>
      </c>
      <c r="R97" s="678">
        <f t="shared" si="79"/>
        <v>19928</v>
      </c>
      <c r="S97" s="679">
        <f t="shared" si="79"/>
        <v>0</v>
      </c>
    </row>
    <row r="98" spans="1:19" ht="15.75" x14ac:dyDescent="0.25">
      <c r="B98" s="273">
        <v>1</v>
      </c>
      <c r="C98" s="274" t="s">
        <v>271</v>
      </c>
      <c r="D98" s="259">
        <f>SUM(E98:G98)</f>
        <v>201563</v>
      </c>
      <c r="E98" s="257">
        <f>'[1]9. Vzdelávanie'!$W$20</f>
        <v>201563</v>
      </c>
      <c r="F98" s="257">
        <f>'[1]9. Vzdelávanie'!$X$20</f>
        <v>0</v>
      </c>
      <c r="G98" s="270">
        <f>'[1]9. Vzdelávanie'!$Y$20</f>
        <v>0</v>
      </c>
      <c r="H98" s="259">
        <f>SUM(I98:K98)</f>
        <v>210497</v>
      </c>
      <c r="I98" s="257">
        <f>'[2]9. Vzdelávanie'!$W$20</f>
        <v>210497</v>
      </c>
      <c r="J98" s="257">
        <v>0</v>
      </c>
      <c r="K98" s="258">
        <v>0</v>
      </c>
      <c r="L98" s="259">
        <f>SUM(M98:O98)</f>
        <v>250875</v>
      </c>
      <c r="M98" s="257">
        <f>'[3]9. Vzdelávanie'!$Z$20</f>
        <v>241875</v>
      </c>
      <c r="N98" s="257">
        <f>'[3]9. Vzdelávanie'!$AA$20</f>
        <v>9000</v>
      </c>
      <c r="O98" s="355">
        <f>'[3]9. Vzdelávanie'!$AB$20</f>
        <v>0</v>
      </c>
      <c r="P98" s="677">
        <f>SUM(Q98:S98)</f>
        <v>250875</v>
      </c>
      <c r="Q98" s="678">
        <f>'[3]9. Vzdelávanie'!$AC$20</f>
        <v>241875</v>
      </c>
      <c r="R98" s="678">
        <f>'[3]9. Vzdelávanie'!$AD$20</f>
        <v>9000</v>
      </c>
      <c r="S98" s="679">
        <f>'[3]9. Vzdelávanie'!$AE$20</f>
        <v>0</v>
      </c>
    </row>
    <row r="99" spans="1:19" ht="15.75" x14ac:dyDescent="0.25">
      <c r="B99" s="273">
        <v>2</v>
      </c>
      <c r="C99" s="274" t="s">
        <v>272</v>
      </c>
      <c r="D99" s="259">
        <f t="shared" ref="D99:D105" si="80">SUM(E99:G99)</f>
        <v>326221</v>
      </c>
      <c r="E99" s="257">
        <f>'[1]9. Vzdelávanie'!$W$21</f>
        <v>311175</v>
      </c>
      <c r="F99" s="257">
        <f>'[1]9. Vzdelávanie'!$X$21</f>
        <v>15046</v>
      </c>
      <c r="G99" s="270">
        <f>'[1]9. Vzdelávanie'!$Y$21</f>
        <v>0</v>
      </c>
      <c r="H99" s="259">
        <f t="shared" ref="H99:H105" si="81">SUM(I99:K99)</f>
        <v>391106.26</v>
      </c>
      <c r="I99" s="257">
        <f>'[2]9. Vzdelávanie'!$W$21</f>
        <v>359043</v>
      </c>
      <c r="J99" s="257">
        <f>'[2]9. Vzdelávanie'!$X$21</f>
        <v>32063.26</v>
      </c>
      <c r="K99" s="258">
        <v>0</v>
      </c>
      <c r="L99" s="259">
        <f t="shared" ref="L99:L105" si="82">SUM(M99:O99)</f>
        <v>416637</v>
      </c>
      <c r="M99" s="257">
        <f>'[3]9. Vzdelávanie'!$Z$21</f>
        <v>405637</v>
      </c>
      <c r="N99" s="257">
        <f>'[3]9. Vzdelávanie'!$AA$21</f>
        <v>11000</v>
      </c>
      <c r="O99" s="355">
        <f>'[3]9. Vzdelávanie'!$AB$21</f>
        <v>0</v>
      </c>
      <c r="P99" s="677">
        <f t="shared" ref="P99:P105" si="83">SUM(Q99:S99)</f>
        <v>416565</v>
      </c>
      <c r="Q99" s="678">
        <f>'[3]9. Vzdelávanie'!$AC$21</f>
        <v>405637</v>
      </c>
      <c r="R99" s="678">
        <f>'[3]9. Vzdelávanie'!$AD$21</f>
        <v>10928</v>
      </c>
      <c r="S99" s="679">
        <f>'[3]9. Vzdelávanie'!$AE$21</f>
        <v>0</v>
      </c>
    </row>
    <row r="100" spans="1:19" ht="15.75" x14ac:dyDescent="0.25">
      <c r="B100" s="273">
        <v>3</v>
      </c>
      <c r="C100" s="274" t="s">
        <v>273</v>
      </c>
      <c r="D100" s="259">
        <f t="shared" si="80"/>
        <v>500532.96</v>
      </c>
      <c r="E100" s="257">
        <f>'[1]9. Vzdelávanie'!$W$22</f>
        <v>488852</v>
      </c>
      <c r="F100" s="257">
        <f>'[1]9. Vzdelávanie'!$X$22</f>
        <v>11680.96</v>
      </c>
      <c r="G100" s="270">
        <f>'[1]9. Vzdelávanie'!$Y$22</f>
        <v>0</v>
      </c>
      <c r="H100" s="259">
        <f t="shared" si="81"/>
        <v>541684</v>
      </c>
      <c r="I100" s="257">
        <f>'[2]9. Vzdelávanie'!$W$22</f>
        <v>531346</v>
      </c>
      <c r="J100" s="257">
        <f>'[2]9. Vzdelávanie'!$X$22</f>
        <v>10338</v>
      </c>
      <c r="K100" s="258">
        <v>0</v>
      </c>
      <c r="L100" s="259">
        <f t="shared" si="82"/>
        <v>593168</v>
      </c>
      <c r="M100" s="257">
        <f>'[3]9. Vzdelávanie'!$Z$22</f>
        <v>593168</v>
      </c>
      <c r="N100" s="257">
        <f>'[3]9. Vzdelávanie'!$AA$22</f>
        <v>0</v>
      </c>
      <c r="O100" s="355">
        <f>'[3]9. Vzdelávanie'!$AB$22</f>
        <v>0</v>
      </c>
      <c r="P100" s="677">
        <f t="shared" si="83"/>
        <v>593168</v>
      </c>
      <c r="Q100" s="678">
        <f>'[3]9. Vzdelávanie'!$AC$22</f>
        <v>593168</v>
      </c>
      <c r="R100" s="678">
        <f>'[3]9. Vzdelávanie'!$AD$22</f>
        <v>0</v>
      </c>
      <c r="S100" s="679">
        <f>'[3]9. Vzdelávanie'!$AE$22</f>
        <v>0</v>
      </c>
    </row>
    <row r="101" spans="1:19" ht="15.75" x14ac:dyDescent="0.25">
      <c r="A101" s="102"/>
      <c r="B101" s="273">
        <v>4</v>
      </c>
      <c r="C101" s="274" t="s">
        <v>422</v>
      </c>
      <c r="D101" s="259">
        <f t="shared" si="80"/>
        <v>0</v>
      </c>
      <c r="E101" s="257">
        <f>'[1]9. Vzdelávanie'!$W$23</f>
        <v>0</v>
      </c>
      <c r="F101" s="257">
        <f>'[1]9. Vzdelávanie'!$X$23</f>
        <v>0</v>
      </c>
      <c r="G101" s="270">
        <f>'[1]9. Vzdelávanie'!$Y$23</f>
        <v>0</v>
      </c>
      <c r="H101" s="259">
        <f t="shared" si="81"/>
        <v>0</v>
      </c>
      <c r="I101" s="257">
        <v>0</v>
      </c>
      <c r="J101" s="257">
        <v>0</v>
      </c>
      <c r="K101" s="258">
        <v>0</v>
      </c>
      <c r="L101" s="259">
        <f t="shared" si="82"/>
        <v>0</v>
      </c>
      <c r="M101" s="257">
        <f>'[3]9. Vzdelávanie'!$Z$23</f>
        <v>0</v>
      </c>
      <c r="N101" s="257">
        <f>'[3]9. Vzdelávanie'!$AA$23</f>
        <v>0</v>
      </c>
      <c r="O101" s="355">
        <f>'[3]9. Vzdelávanie'!$AB$23</f>
        <v>0</v>
      </c>
      <c r="P101" s="677">
        <f t="shared" si="83"/>
        <v>0</v>
      </c>
      <c r="Q101" s="678">
        <f>'[3]9. Vzdelávanie'!$AC$23</f>
        <v>0</v>
      </c>
      <c r="R101" s="678">
        <f>'[3]9. Vzdelávanie'!$AD$23</f>
        <v>0</v>
      </c>
      <c r="S101" s="679">
        <f>'[3]9. Vzdelávanie'!$AE$23</f>
        <v>0</v>
      </c>
    </row>
    <row r="102" spans="1:19" ht="15.75" x14ac:dyDescent="0.25">
      <c r="B102" s="273">
        <v>5</v>
      </c>
      <c r="C102" s="274" t="s">
        <v>275</v>
      </c>
      <c r="D102" s="259">
        <f t="shared" si="80"/>
        <v>242603</v>
      </c>
      <c r="E102" s="257">
        <f>'[1]9. Vzdelávanie'!$W$24</f>
        <v>242603</v>
      </c>
      <c r="F102" s="257">
        <f>'[1]9. Vzdelávanie'!$X$24</f>
        <v>0</v>
      </c>
      <c r="G102" s="270">
        <f>'[1]9. Vzdelávanie'!$Y$24</f>
        <v>0</v>
      </c>
      <c r="H102" s="259">
        <f t="shared" si="81"/>
        <v>295989.5</v>
      </c>
      <c r="I102" s="257">
        <f>'[2]9. Vzdelávanie'!$W$24</f>
        <v>264583</v>
      </c>
      <c r="J102" s="257">
        <f>'[2]9. Vzdelávanie'!$X$24</f>
        <v>31406.5</v>
      </c>
      <c r="K102" s="258">
        <v>0</v>
      </c>
      <c r="L102" s="259">
        <f t="shared" si="82"/>
        <v>290035</v>
      </c>
      <c r="M102" s="257">
        <f>'[3]9. Vzdelávanie'!$Z$24</f>
        <v>290035</v>
      </c>
      <c r="N102" s="257">
        <f>'[3]9. Vzdelávanie'!$AA$24</f>
        <v>0</v>
      </c>
      <c r="O102" s="355">
        <f>'[3]9. Vzdelávanie'!$AB$24</f>
        <v>0</v>
      </c>
      <c r="P102" s="677">
        <f t="shared" si="83"/>
        <v>290035</v>
      </c>
      <c r="Q102" s="678">
        <f>'[3]9. Vzdelávanie'!$AC$24</f>
        <v>290035</v>
      </c>
      <c r="R102" s="678">
        <f>'[3]9. Vzdelávanie'!$AD$24</f>
        <v>0</v>
      </c>
      <c r="S102" s="679">
        <f>'[3]9. Vzdelávanie'!$AE$24</f>
        <v>0</v>
      </c>
    </row>
    <row r="103" spans="1:19" ht="15.75" x14ac:dyDescent="0.25">
      <c r="B103" s="273">
        <v>6</v>
      </c>
      <c r="C103" s="274" t="s">
        <v>276</v>
      </c>
      <c r="D103" s="259">
        <f t="shared" si="80"/>
        <v>259796</v>
      </c>
      <c r="E103" s="257">
        <f>'[1]9. Vzdelávanie'!$W$25</f>
        <v>259796</v>
      </c>
      <c r="F103" s="257">
        <f>'[1]9. Vzdelávanie'!$X$25</f>
        <v>0</v>
      </c>
      <c r="G103" s="270">
        <f>'[1]9. Vzdelávanie'!$Y$25</f>
        <v>0</v>
      </c>
      <c r="H103" s="259">
        <f t="shared" si="81"/>
        <v>291240</v>
      </c>
      <c r="I103" s="257">
        <f>'[2]9. Vzdelávanie'!$W$25</f>
        <v>285348</v>
      </c>
      <c r="J103" s="257">
        <f>'[2]9. Vzdelávanie'!$X$25</f>
        <v>5892</v>
      </c>
      <c r="K103" s="258">
        <v>0</v>
      </c>
      <c r="L103" s="259">
        <f t="shared" si="82"/>
        <v>314075</v>
      </c>
      <c r="M103" s="257">
        <f>'[3]9. Vzdelávanie'!$Z$25</f>
        <v>314075</v>
      </c>
      <c r="N103" s="257">
        <f>'[3]9. Vzdelávanie'!$AA$25</f>
        <v>0</v>
      </c>
      <c r="O103" s="355">
        <f>'[3]9. Vzdelávanie'!$AB$25</f>
        <v>0</v>
      </c>
      <c r="P103" s="677">
        <f t="shared" si="83"/>
        <v>314075</v>
      </c>
      <c r="Q103" s="678">
        <f>'[3]9. Vzdelávanie'!$AC$25</f>
        <v>314075</v>
      </c>
      <c r="R103" s="678">
        <f>'[3]9. Vzdelávanie'!$AD$25</f>
        <v>0</v>
      </c>
      <c r="S103" s="679">
        <f>'[3]9. Vzdelávanie'!$AE$25</f>
        <v>0</v>
      </c>
    </row>
    <row r="104" spans="1:19" ht="15.75" x14ac:dyDescent="0.25">
      <c r="B104" s="273">
        <v>7</v>
      </c>
      <c r="C104" s="274" t="s">
        <v>277</v>
      </c>
      <c r="D104" s="259">
        <f t="shared" si="80"/>
        <v>315306.12</v>
      </c>
      <c r="E104" s="257">
        <f>'[1]9. Vzdelávanie'!$W$26</f>
        <v>258931</v>
      </c>
      <c r="F104" s="257">
        <f>'[1]9. Vzdelávanie'!$X$26</f>
        <v>56375.12</v>
      </c>
      <c r="G104" s="270">
        <f>'[1]9. Vzdelávanie'!$Y$26</f>
        <v>0</v>
      </c>
      <c r="H104" s="259">
        <f t="shared" si="81"/>
        <v>293561</v>
      </c>
      <c r="I104" s="257">
        <f>'[2]9. Vzdelávanie'!$W$26</f>
        <v>293561</v>
      </c>
      <c r="J104" s="257">
        <v>0</v>
      </c>
      <c r="K104" s="258">
        <v>0</v>
      </c>
      <c r="L104" s="259">
        <f t="shared" si="82"/>
        <v>314833</v>
      </c>
      <c r="M104" s="257">
        <f>'[3]9. Vzdelávanie'!$Z$26</f>
        <v>314833</v>
      </c>
      <c r="N104" s="257">
        <f>'[3]9. Vzdelávanie'!$AA$26</f>
        <v>0</v>
      </c>
      <c r="O104" s="355">
        <f>'[3]9. Vzdelávanie'!$AB$26</f>
        <v>0</v>
      </c>
      <c r="P104" s="677">
        <f t="shared" si="83"/>
        <v>314833</v>
      </c>
      <c r="Q104" s="678">
        <f>'[3]9. Vzdelávanie'!$AC$26</f>
        <v>314833</v>
      </c>
      <c r="R104" s="678">
        <f>'[3]9. Vzdelávanie'!$AD$26</f>
        <v>0</v>
      </c>
      <c r="S104" s="679">
        <f>'[3]9. Vzdelávanie'!$AE$26</f>
        <v>0</v>
      </c>
    </row>
    <row r="105" spans="1:19" ht="15.75" x14ac:dyDescent="0.25">
      <c r="B105" s="273">
        <v>8</v>
      </c>
      <c r="C105" s="274" t="s">
        <v>430</v>
      </c>
      <c r="D105" s="259">
        <f t="shared" si="80"/>
        <v>42840</v>
      </c>
      <c r="E105" s="257">
        <f>'[1]9. Vzdelávanie'!$W$27</f>
        <v>42840</v>
      </c>
      <c r="F105" s="257">
        <f>'[1]9. Vzdelávanie'!$X$27</f>
        <v>0</v>
      </c>
      <c r="G105" s="270">
        <f>'[1]9. Vzdelávanie'!$Y$27</f>
        <v>0</v>
      </c>
      <c r="H105" s="259">
        <f t="shared" si="81"/>
        <v>84240</v>
      </c>
      <c r="I105" s="257">
        <f>'[2]9. Vzdelávanie'!$W$27</f>
        <v>84240</v>
      </c>
      <c r="J105" s="257">
        <v>0</v>
      </c>
      <c r="K105" s="258">
        <v>0</v>
      </c>
      <c r="L105" s="259">
        <f t="shared" si="82"/>
        <v>82112</v>
      </c>
      <c r="M105" s="257">
        <f>'[3]9. Vzdelávanie'!$Z$27</f>
        <v>82112</v>
      </c>
      <c r="N105" s="257">
        <f>'[3]9. Vzdelávanie'!$AA$27</f>
        <v>0</v>
      </c>
      <c r="O105" s="355">
        <f>'[3]9. Vzdelávanie'!$AB$27</f>
        <v>0</v>
      </c>
      <c r="P105" s="677">
        <f t="shared" si="83"/>
        <v>82112</v>
      </c>
      <c r="Q105" s="678">
        <f>'[3]9. Vzdelávanie'!$AC$27</f>
        <v>82112</v>
      </c>
      <c r="R105" s="678">
        <f>'[3]9. Vzdelávanie'!$AD$27</f>
        <v>0</v>
      </c>
      <c r="S105" s="679">
        <f>'[3]9. Vzdelávanie'!$AE$27</f>
        <v>0</v>
      </c>
    </row>
    <row r="106" spans="1:19" ht="15.75" x14ac:dyDescent="0.25">
      <c r="B106" s="285" t="s">
        <v>278</v>
      </c>
      <c r="C106" s="274" t="s">
        <v>279</v>
      </c>
      <c r="D106" s="259">
        <f t="shared" ref="D106:G106" si="84">SUM(D107:D112)</f>
        <v>5838618.9299999997</v>
      </c>
      <c r="E106" s="257">
        <f t="shared" si="84"/>
        <v>5760741</v>
      </c>
      <c r="F106" s="257">
        <f t="shared" si="84"/>
        <v>77877.929999999993</v>
      </c>
      <c r="G106" s="270">
        <f t="shared" si="84"/>
        <v>0</v>
      </c>
      <c r="H106" s="259">
        <f t="shared" ref="H106:K106" si="85">SUM(H107:H112)</f>
        <v>6354482.5900000008</v>
      </c>
      <c r="I106" s="257">
        <f t="shared" si="85"/>
        <v>6108332.0200000005</v>
      </c>
      <c r="J106" s="257">
        <f t="shared" si="85"/>
        <v>246150.57</v>
      </c>
      <c r="K106" s="258">
        <f t="shared" si="85"/>
        <v>0</v>
      </c>
      <c r="L106" s="259">
        <f t="shared" ref="L106:S106" si="86">SUM(L107:L112)</f>
        <v>7088676</v>
      </c>
      <c r="M106" s="257">
        <f t="shared" si="86"/>
        <v>7028676</v>
      </c>
      <c r="N106" s="257">
        <f t="shared" si="86"/>
        <v>60000</v>
      </c>
      <c r="O106" s="355">
        <f t="shared" si="86"/>
        <v>0</v>
      </c>
      <c r="P106" s="677">
        <f t="shared" si="86"/>
        <v>6997274.9799999995</v>
      </c>
      <c r="Q106" s="678">
        <f t="shared" si="86"/>
        <v>6997274.9799999995</v>
      </c>
      <c r="R106" s="678">
        <f t="shared" si="86"/>
        <v>0</v>
      </c>
      <c r="S106" s="679">
        <f t="shared" si="86"/>
        <v>0</v>
      </c>
    </row>
    <row r="107" spans="1:19" ht="15.75" x14ac:dyDescent="0.25">
      <c r="B107" s="273">
        <v>1</v>
      </c>
      <c r="C107" s="274" t="s">
        <v>280</v>
      </c>
      <c r="D107" s="259">
        <f t="shared" ref="D107:D112" si="87">SUM(E107:G107)</f>
        <v>558912</v>
      </c>
      <c r="E107" s="257">
        <f>'[1]9. Vzdelávanie'!$W$29</f>
        <v>549672</v>
      </c>
      <c r="F107" s="257">
        <f>'[1]9. Vzdelávanie'!$X$29</f>
        <v>9240</v>
      </c>
      <c r="G107" s="270">
        <f>'[1]9. Vzdelávanie'!$Y$29</f>
        <v>0</v>
      </c>
      <c r="H107" s="259">
        <f t="shared" ref="H107:H112" si="88">SUM(I107:K107)</f>
        <v>611940</v>
      </c>
      <c r="I107" s="257">
        <f>'[2]9. Vzdelávanie'!$W$29</f>
        <v>608940</v>
      </c>
      <c r="J107" s="257">
        <f>'[2]9. Vzdelávanie'!$X$29</f>
        <v>3000</v>
      </c>
      <c r="K107" s="258">
        <f>'[2]9. Vzdelávanie'!$Y$29</f>
        <v>0</v>
      </c>
      <c r="L107" s="259">
        <f t="shared" ref="L107:L112" si="89">SUM(M107:O107)</f>
        <v>745399</v>
      </c>
      <c r="M107" s="257">
        <f>'[3]9. Vzdelávanie'!$Z$29</f>
        <v>745399</v>
      </c>
      <c r="N107" s="257">
        <f>'[3]9. Vzdelávanie'!$AA$29</f>
        <v>0</v>
      </c>
      <c r="O107" s="355">
        <f>'[3]9. Vzdelávanie'!$AB$29</f>
        <v>0</v>
      </c>
      <c r="P107" s="677">
        <f t="shared" ref="P107:P112" si="90">SUM(Q107:S107)</f>
        <v>745399</v>
      </c>
      <c r="Q107" s="678">
        <f>'[3]9. Vzdelávanie'!$AC$29</f>
        <v>745399</v>
      </c>
      <c r="R107" s="678">
        <f>'[3]9. Vzdelávanie'!$AD$29</f>
        <v>0</v>
      </c>
      <c r="S107" s="679">
        <f>'[3]9. Vzdelávanie'!$AE$29</f>
        <v>0</v>
      </c>
    </row>
    <row r="108" spans="1:19" ht="15.75" x14ac:dyDescent="0.25">
      <c r="B108" s="273">
        <v>2</v>
      </c>
      <c r="C108" s="274" t="s">
        <v>450</v>
      </c>
      <c r="D108" s="259">
        <f t="shared" si="87"/>
        <v>855440</v>
      </c>
      <c r="E108" s="257">
        <f>'[1]9. Vzdelávanie'!$W$32</f>
        <v>855440</v>
      </c>
      <c r="F108" s="257">
        <f>'[1]9. Vzdelávanie'!$X$32</f>
        <v>0</v>
      </c>
      <c r="G108" s="270">
        <f>'[1]9. Vzdelávanie'!$Y$32</f>
        <v>0</v>
      </c>
      <c r="H108" s="259">
        <f t="shared" si="88"/>
        <v>931350</v>
      </c>
      <c r="I108" s="257">
        <f>'[2]9. Vzdelávanie'!$W$32</f>
        <v>928620</v>
      </c>
      <c r="J108" s="257">
        <f>'[2]9. Vzdelávanie'!$X$32</f>
        <v>2730</v>
      </c>
      <c r="K108" s="258">
        <f>'[2]9. Vzdelávanie'!$Y$32</f>
        <v>0</v>
      </c>
      <c r="L108" s="259">
        <f t="shared" si="89"/>
        <v>1059725</v>
      </c>
      <c r="M108" s="257">
        <f>'[3]9. Vzdelávanie'!$Z$32</f>
        <v>1059725</v>
      </c>
      <c r="N108" s="257">
        <f>'[3]9. Vzdelávanie'!$AA$32</f>
        <v>0</v>
      </c>
      <c r="O108" s="355">
        <f>'[3]9. Vzdelávanie'!$AB$32</f>
        <v>0</v>
      </c>
      <c r="P108" s="677">
        <f t="shared" si="90"/>
        <v>1059725</v>
      </c>
      <c r="Q108" s="678">
        <f>'[3]9. Vzdelávanie'!$AC$32</f>
        <v>1059725</v>
      </c>
      <c r="R108" s="678">
        <f>'[3]9. Vzdelávanie'!$AD$32</f>
        <v>0</v>
      </c>
      <c r="S108" s="679">
        <f>'[3]9. Vzdelávanie'!$AE$32</f>
        <v>0</v>
      </c>
    </row>
    <row r="109" spans="1:19" ht="15.75" x14ac:dyDescent="0.25">
      <c r="A109" s="124"/>
      <c r="B109" s="273">
        <v>3</v>
      </c>
      <c r="C109" s="274" t="s">
        <v>451</v>
      </c>
      <c r="D109" s="259">
        <f t="shared" si="87"/>
        <v>1485900</v>
      </c>
      <c r="E109" s="257">
        <f>'[1]9. Vzdelávanie'!$W$36</f>
        <v>1485900</v>
      </c>
      <c r="F109" s="257">
        <f>'[1]9. Vzdelávanie'!$X$36</f>
        <v>0</v>
      </c>
      <c r="G109" s="270">
        <f>'[1]9. Vzdelávanie'!$Y$36</f>
        <v>0</v>
      </c>
      <c r="H109" s="259">
        <f t="shared" si="88"/>
        <v>1623664.75</v>
      </c>
      <c r="I109" s="257">
        <f>'[2]9. Vzdelávanie'!$W$36</f>
        <v>1617665.25</v>
      </c>
      <c r="J109" s="257">
        <f>'[2]9. Vzdelávanie'!$X$36</f>
        <v>5999.5</v>
      </c>
      <c r="K109" s="258">
        <f>'[2]9. Vzdelávanie'!$Y$36</f>
        <v>0</v>
      </c>
      <c r="L109" s="259">
        <f t="shared" si="89"/>
        <v>1828972</v>
      </c>
      <c r="M109" s="257">
        <f>'[3]9. Vzdelávanie'!$Z$36</f>
        <v>1828972</v>
      </c>
      <c r="N109" s="257">
        <f>'[3]9. Vzdelávanie'!$AA$36</f>
        <v>0</v>
      </c>
      <c r="O109" s="355">
        <f>'[3]9. Vzdelávanie'!$AB$36</f>
        <v>0</v>
      </c>
      <c r="P109" s="677">
        <f t="shared" si="90"/>
        <v>1827071.75</v>
      </c>
      <c r="Q109" s="678">
        <f>'[3]9. Vzdelávanie'!$AC$36</f>
        <v>1827071.75</v>
      </c>
      <c r="R109" s="678">
        <f>'[3]9. Vzdelávanie'!$AD$36</f>
        <v>0</v>
      </c>
      <c r="S109" s="679">
        <f>'[3]9. Vzdelávanie'!$AE$36</f>
        <v>0</v>
      </c>
    </row>
    <row r="110" spans="1:19" ht="15.75" x14ac:dyDescent="0.25">
      <c r="A110" s="124"/>
      <c r="B110" s="273">
        <v>4</v>
      </c>
      <c r="C110" s="274" t="s">
        <v>452</v>
      </c>
      <c r="D110" s="259">
        <f t="shared" si="87"/>
        <v>1322050.93</v>
      </c>
      <c r="E110" s="257">
        <f>'[1]9. Vzdelávanie'!$W$41</f>
        <v>1253413</v>
      </c>
      <c r="F110" s="257">
        <f>'[1]9. Vzdelávanie'!$X$41</f>
        <v>68637.929999999993</v>
      </c>
      <c r="G110" s="270">
        <f>'[1]9. Vzdelávanie'!$Y$41</f>
        <v>0</v>
      </c>
      <c r="H110" s="259">
        <f t="shared" si="88"/>
        <v>1303599.23</v>
      </c>
      <c r="I110" s="257">
        <f>'[2]9. Vzdelávanie'!$W$41</f>
        <v>1303599.23</v>
      </c>
      <c r="J110" s="257">
        <f>'[2]9. Vzdelávanie'!$X$41</f>
        <v>0</v>
      </c>
      <c r="K110" s="258">
        <f>'[2]9. Vzdelávanie'!$Y$41</f>
        <v>0</v>
      </c>
      <c r="L110" s="259">
        <f t="shared" si="89"/>
        <v>1548831</v>
      </c>
      <c r="M110" s="257">
        <f>'[3]9. Vzdelávanie'!$Z$41</f>
        <v>1548831</v>
      </c>
      <c r="N110" s="257">
        <f>'[3]9. Vzdelávanie'!$AA$41</f>
        <v>0</v>
      </c>
      <c r="O110" s="355">
        <f>'[3]9. Vzdelávanie'!$AB$41</f>
        <v>0</v>
      </c>
      <c r="P110" s="677">
        <f t="shared" si="90"/>
        <v>1519330.77</v>
      </c>
      <c r="Q110" s="678">
        <f>'[3]9. Vzdelávanie'!$AC$41</f>
        <v>1519330.77</v>
      </c>
      <c r="R110" s="678">
        <f>'[3]9. Vzdelávanie'!$AD$41</f>
        <v>0</v>
      </c>
      <c r="S110" s="679">
        <f>'[3]9. Vzdelávanie'!$AE$41</f>
        <v>0</v>
      </c>
    </row>
    <row r="111" spans="1:19" ht="15.75" x14ac:dyDescent="0.25">
      <c r="A111" s="124"/>
      <c r="B111" s="273">
        <v>5</v>
      </c>
      <c r="C111" s="274" t="s">
        <v>453</v>
      </c>
      <c r="D111" s="259">
        <f t="shared" si="87"/>
        <v>1026169</v>
      </c>
      <c r="E111" s="257">
        <f>'[1]9. Vzdelávanie'!$W$44</f>
        <v>1026169</v>
      </c>
      <c r="F111" s="257">
        <f>'[1]9. Vzdelávanie'!$X$44</f>
        <v>0</v>
      </c>
      <c r="G111" s="270">
        <f>'[1]9. Vzdelávanie'!$Y$44</f>
        <v>0</v>
      </c>
      <c r="H111" s="259">
        <f t="shared" si="88"/>
        <v>1247383.6100000001</v>
      </c>
      <c r="I111" s="257">
        <f>'[2]9. Vzdelávanie'!$W$44</f>
        <v>1012962.54</v>
      </c>
      <c r="J111" s="257">
        <f>'[2]9. Vzdelávanie'!$X$44</f>
        <v>234421.07</v>
      </c>
      <c r="K111" s="258">
        <f>'[2]9. Vzdelávanie'!$Y$44</f>
        <v>0</v>
      </c>
      <c r="L111" s="259">
        <f t="shared" si="89"/>
        <v>1205597</v>
      </c>
      <c r="M111" s="257">
        <f>'[3]9. Vzdelávanie'!$Z$44</f>
        <v>1145597</v>
      </c>
      <c r="N111" s="257">
        <f>'[3]9. Vzdelávanie'!$AA$44</f>
        <v>60000</v>
      </c>
      <c r="O111" s="355">
        <f>'[3]9. Vzdelávanie'!$AB$44</f>
        <v>0</v>
      </c>
      <c r="P111" s="677">
        <f t="shared" si="90"/>
        <v>1145596.46</v>
      </c>
      <c r="Q111" s="678">
        <f>'[3]9. Vzdelávanie'!$AC$44</f>
        <v>1145596.46</v>
      </c>
      <c r="R111" s="678">
        <f>'[3]9. Vzdelávanie'!$AD$44</f>
        <v>0</v>
      </c>
      <c r="S111" s="679">
        <f>'[3]9. Vzdelávanie'!$AE$44</f>
        <v>0</v>
      </c>
    </row>
    <row r="112" spans="1:19" ht="15.75" x14ac:dyDescent="0.25">
      <c r="A112" s="124"/>
      <c r="B112" s="273">
        <v>6</v>
      </c>
      <c r="C112" s="274" t="s">
        <v>454</v>
      </c>
      <c r="D112" s="259">
        <f t="shared" si="87"/>
        <v>590147</v>
      </c>
      <c r="E112" s="257">
        <f>'[1]9. Vzdelávanie'!$W$47</f>
        <v>590147</v>
      </c>
      <c r="F112" s="257">
        <f>'[1]9. Vzdelávanie'!$X$47</f>
        <v>0</v>
      </c>
      <c r="G112" s="270">
        <f>'[1]9. Vzdelávanie'!$Y$47</f>
        <v>0</v>
      </c>
      <c r="H112" s="259">
        <f t="shared" si="88"/>
        <v>636545</v>
      </c>
      <c r="I112" s="257">
        <f>'[2]9. Vzdelávanie'!$W$47</f>
        <v>636545</v>
      </c>
      <c r="J112" s="257">
        <f>'[2]9. Vzdelávanie'!$X$47</f>
        <v>0</v>
      </c>
      <c r="K112" s="258">
        <f>'[2]9. Vzdelávanie'!$Y$47</f>
        <v>0</v>
      </c>
      <c r="L112" s="259">
        <f t="shared" si="89"/>
        <v>700152</v>
      </c>
      <c r="M112" s="257">
        <f>'[3]9. Vzdelávanie'!$Z$47</f>
        <v>700152</v>
      </c>
      <c r="N112" s="257">
        <f>'[3]9. Vzdelávanie'!$AA$47</f>
        <v>0</v>
      </c>
      <c r="O112" s="355">
        <f>'[3]9. Vzdelávanie'!$AB$47</f>
        <v>0</v>
      </c>
      <c r="P112" s="677">
        <f t="shared" si="90"/>
        <v>700152</v>
      </c>
      <c r="Q112" s="678">
        <f>'[3]9. Vzdelávanie'!$AC$47</f>
        <v>700152</v>
      </c>
      <c r="R112" s="678">
        <f>'[3]9. Vzdelávanie'!$AD$47</f>
        <v>0</v>
      </c>
      <c r="S112" s="679">
        <f>'[3]9. Vzdelávanie'!$AE$47</f>
        <v>0</v>
      </c>
    </row>
    <row r="113" spans="1:19" ht="15.75" x14ac:dyDescent="0.25">
      <c r="A113" s="124"/>
      <c r="B113" s="285" t="s">
        <v>286</v>
      </c>
      <c r="C113" s="274" t="s">
        <v>287</v>
      </c>
      <c r="D113" s="259">
        <f t="shared" ref="D113:G113" si="91">SUM(D114:D115)</f>
        <v>749268</v>
      </c>
      <c r="E113" s="257">
        <f t="shared" si="91"/>
        <v>749268</v>
      </c>
      <c r="F113" s="257">
        <f t="shared" si="91"/>
        <v>0</v>
      </c>
      <c r="G113" s="270">
        <f t="shared" si="91"/>
        <v>0</v>
      </c>
      <c r="H113" s="259">
        <f t="shared" ref="H113:K113" si="92">SUM(H114:H115)</f>
        <v>915371.53</v>
      </c>
      <c r="I113" s="257">
        <f t="shared" si="92"/>
        <v>904920</v>
      </c>
      <c r="J113" s="257">
        <f t="shared" si="92"/>
        <v>10451.530000000001</v>
      </c>
      <c r="K113" s="258">
        <f t="shared" si="92"/>
        <v>0</v>
      </c>
      <c r="L113" s="259">
        <f t="shared" ref="L113:S113" si="93">SUM(L114:L115)</f>
        <v>1038540</v>
      </c>
      <c r="M113" s="257">
        <f t="shared" si="93"/>
        <v>1038540</v>
      </c>
      <c r="N113" s="257">
        <f t="shared" si="93"/>
        <v>0</v>
      </c>
      <c r="O113" s="355">
        <f t="shared" si="93"/>
        <v>0</v>
      </c>
      <c r="P113" s="677">
        <f t="shared" si="93"/>
        <v>1038540</v>
      </c>
      <c r="Q113" s="678">
        <f t="shared" si="93"/>
        <v>1038540</v>
      </c>
      <c r="R113" s="678">
        <f t="shared" si="93"/>
        <v>0</v>
      </c>
      <c r="S113" s="679">
        <f t="shared" si="93"/>
        <v>0</v>
      </c>
    </row>
    <row r="114" spans="1:19" ht="15.75" x14ac:dyDescent="0.25">
      <c r="A114" s="124"/>
      <c r="B114" s="273">
        <v>1</v>
      </c>
      <c r="C114" s="274" t="s">
        <v>288</v>
      </c>
      <c r="D114" s="259">
        <f t="shared" ref="D114:D119" si="94">SUM(E114:G114)</f>
        <v>517868</v>
      </c>
      <c r="E114" s="257">
        <f>'[1]9. Vzdelávanie'!$W$51</f>
        <v>517868</v>
      </c>
      <c r="F114" s="257">
        <f>'[1]9. Vzdelávanie'!$X$51</f>
        <v>0</v>
      </c>
      <c r="G114" s="270">
        <f>'[1]9. Vzdelávanie'!$Y$51</f>
        <v>0</v>
      </c>
      <c r="H114" s="259">
        <f t="shared" ref="H114:H119" si="95">SUM(I114:K114)</f>
        <v>642200</v>
      </c>
      <c r="I114" s="257">
        <f>'[2]9. Vzdelávanie'!$W$51</f>
        <v>642200</v>
      </c>
      <c r="J114" s="257">
        <v>0</v>
      </c>
      <c r="K114" s="258">
        <v>0</v>
      </c>
      <c r="L114" s="259">
        <f t="shared" ref="L114:L119" si="96">SUM(M114:O114)</f>
        <v>736500</v>
      </c>
      <c r="M114" s="257">
        <f>'[3]9. Vzdelávanie'!$Z$51</f>
        <v>736500</v>
      </c>
      <c r="N114" s="257">
        <f>'[3]9. Vzdelávanie'!$AA$51</f>
        <v>0</v>
      </c>
      <c r="O114" s="355">
        <f>'[3]9. Vzdelávanie'!$AB$51</f>
        <v>0</v>
      </c>
      <c r="P114" s="677">
        <f t="shared" ref="P114:P119" si="97">SUM(Q114:S114)</f>
        <v>736500</v>
      </c>
      <c r="Q114" s="678">
        <f>'[3]9. Vzdelávanie'!$AC$51</f>
        <v>736500</v>
      </c>
      <c r="R114" s="678">
        <f>'[3]9. Vzdelávanie'!$AD$51</f>
        <v>0</v>
      </c>
      <c r="S114" s="679">
        <f>'[3]9. Vzdelávanie'!$AE$51</f>
        <v>0</v>
      </c>
    </row>
    <row r="115" spans="1:19" ht="15.75" x14ac:dyDescent="0.25">
      <c r="A115" s="124"/>
      <c r="B115" s="273">
        <v>2</v>
      </c>
      <c r="C115" s="274" t="s">
        <v>289</v>
      </c>
      <c r="D115" s="259">
        <f t="shared" si="94"/>
        <v>231400</v>
      </c>
      <c r="E115" s="257">
        <f>'[1]9. Vzdelávanie'!$W$52</f>
        <v>231400</v>
      </c>
      <c r="F115" s="257">
        <f>'[1]9. Vzdelávanie'!$X$52</f>
        <v>0</v>
      </c>
      <c r="G115" s="270">
        <f>'[1]9. Vzdelávanie'!$Y$52</f>
        <v>0</v>
      </c>
      <c r="H115" s="259">
        <f t="shared" si="95"/>
        <v>273171.53000000003</v>
      </c>
      <c r="I115" s="257">
        <f>'[2]9. Vzdelávanie'!$W$52</f>
        <v>262720</v>
      </c>
      <c r="J115" s="257">
        <f>'[2]9. Vzdelávanie'!$X$52</f>
        <v>10451.530000000001</v>
      </c>
      <c r="K115" s="258">
        <v>0</v>
      </c>
      <c r="L115" s="259">
        <f t="shared" si="96"/>
        <v>302040</v>
      </c>
      <c r="M115" s="257">
        <f>'[3]9. Vzdelávanie'!$Z$52</f>
        <v>302040</v>
      </c>
      <c r="N115" s="257">
        <f>'[3]9. Vzdelávanie'!$AA$52</f>
        <v>0</v>
      </c>
      <c r="O115" s="355">
        <f>'[3]9. Vzdelávanie'!$AB$52</f>
        <v>0</v>
      </c>
      <c r="P115" s="677">
        <f t="shared" si="97"/>
        <v>302040</v>
      </c>
      <c r="Q115" s="678">
        <f>'[3]9. Vzdelávanie'!$AC$52</f>
        <v>302040</v>
      </c>
      <c r="R115" s="678">
        <f>'[3]9. Vzdelávanie'!$AD$52</f>
        <v>0</v>
      </c>
      <c r="S115" s="679">
        <f>'[3]9. Vzdelávanie'!$AE$52</f>
        <v>0</v>
      </c>
    </row>
    <row r="116" spans="1:19" ht="15.75" x14ac:dyDescent="0.25">
      <c r="A116" s="124"/>
      <c r="B116" s="285" t="s">
        <v>290</v>
      </c>
      <c r="C116" s="274" t="s">
        <v>291</v>
      </c>
      <c r="D116" s="259">
        <f t="shared" si="94"/>
        <v>344600.22</v>
      </c>
      <c r="E116" s="257">
        <f>'[1]9. Vzdelávanie'!$W$53</f>
        <v>344600.22</v>
      </c>
      <c r="F116" s="257">
        <f>'[1]9. Vzdelávanie'!$X$53</f>
        <v>0</v>
      </c>
      <c r="G116" s="270">
        <f>'[1]9. Vzdelávanie'!$Y$53</f>
        <v>0</v>
      </c>
      <c r="H116" s="259">
        <f t="shared" si="95"/>
        <v>589702.65</v>
      </c>
      <c r="I116" s="257">
        <f>'[2]9. Vzdelávanie'!$W$53</f>
        <v>589702.65</v>
      </c>
      <c r="J116" s="257">
        <f>'[2]9. Vzdelávanie'!$X$53</f>
        <v>0</v>
      </c>
      <c r="K116" s="258">
        <f>'[2]9. Vzdelávanie'!$Y$53</f>
        <v>0</v>
      </c>
      <c r="L116" s="259">
        <f t="shared" si="96"/>
        <v>755522</v>
      </c>
      <c r="M116" s="257">
        <f>'[3]9. Vzdelávanie'!$Z$53</f>
        <v>755522</v>
      </c>
      <c r="N116" s="257">
        <f>'[3]9. Vzdelávanie'!$AA$53</f>
        <v>0</v>
      </c>
      <c r="O116" s="355">
        <f>'[3]9. Vzdelávanie'!$AB$53</f>
        <v>0</v>
      </c>
      <c r="P116" s="677">
        <f t="shared" si="97"/>
        <v>747932.31</v>
      </c>
      <c r="Q116" s="678">
        <f>'[3]9. Vzdelávanie'!$AC$53</f>
        <v>747932.31</v>
      </c>
      <c r="R116" s="678">
        <f>'[3]9. Vzdelávanie'!$AD$53</f>
        <v>0</v>
      </c>
      <c r="S116" s="679">
        <f>'[3]9. Vzdelávanie'!$AE$53</f>
        <v>0</v>
      </c>
    </row>
    <row r="117" spans="1:19" ht="15.75" x14ac:dyDescent="0.25">
      <c r="A117" s="124"/>
      <c r="B117" s="285" t="s">
        <v>292</v>
      </c>
      <c r="C117" s="274" t="s">
        <v>293</v>
      </c>
      <c r="D117" s="259">
        <f t="shared" si="94"/>
        <v>647288.85000000009</v>
      </c>
      <c r="E117" s="257">
        <f>'[1]9. Vzdelávanie'!$W$70</f>
        <v>621982.06000000006</v>
      </c>
      <c r="F117" s="257">
        <f>'[1]9. Vzdelávanie'!$X$70</f>
        <v>25306.79</v>
      </c>
      <c r="G117" s="270">
        <f>'[1]9. Vzdelávanie'!$Y$70</f>
        <v>0</v>
      </c>
      <c r="H117" s="259">
        <f t="shared" si="95"/>
        <v>793049.43</v>
      </c>
      <c r="I117" s="257">
        <f>'[2]9. Vzdelávanie'!$W$73</f>
        <v>776703.63</v>
      </c>
      <c r="J117" s="257">
        <f>'[2]9. Vzdelávanie'!$X$73</f>
        <v>16345.8</v>
      </c>
      <c r="K117" s="258">
        <v>0</v>
      </c>
      <c r="L117" s="259">
        <f t="shared" si="96"/>
        <v>1014025</v>
      </c>
      <c r="M117" s="257">
        <f>'[3]9. Vzdelávanie'!$Z$74</f>
        <v>963061</v>
      </c>
      <c r="N117" s="257">
        <f>'[3]9. Vzdelávanie'!$AA$74</f>
        <v>50964</v>
      </c>
      <c r="O117" s="355">
        <f>'[3]9. Vzdelávanie'!$AB$74</f>
        <v>0</v>
      </c>
      <c r="P117" s="677">
        <f t="shared" si="97"/>
        <v>910419.25</v>
      </c>
      <c r="Q117" s="678">
        <f>'[3]9. Vzdelávanie'!$AC$74</f>
        <v>859677.33</v>
      </c>
      <c r="R117" s="678">
        <f>'[3]9. Vzdelávanie'!$AD$74</f>
        <v>50741.919999999998</v>
      </c>
      <c r="S117" s="679">
        <f>'[3]9. Vzdelávanie'!$AE$74</f>
        <v>0</v>
      </c>
    </row>
    <row r="118" spans="1:19" ht="15.75" x14ac:dyDescent="0.25">
      <c r="A118" s="124"/>
      <c r="B118" s="393" t="s">
        <v>294</v>
      </c>
      <c r="C118" s="394" t="s">
        <v>412</v>
      </c>
      <c r="D118" s="259">
        <f t="shared" si="94"/>
        <v>161788.28999999998</v>
      </c>
      <c r="E118" s="257">
        <f>'[1]9. Vzdelávanie'!$W$71</f>
        <v>161788.28999999998</v>
      </c>
      <c r="F118" s="257">
        <f>'[1]9. Vzdelávanie'!$X$71</f>
        <v>0</v>
      </c>
      <c r="G118" s="270">
        <f>'[1]9. Vzdelávanie'!$Y$71</f>
        <v>0</v>
      </c>
      <c r="H118" s="259">
        <f t="shared" si="95"/>
        <v>240504.3</v>
      </c>
      <c r="I118" s="257">
        <f>'[2]9. Vzdelávanie'!$W$74</f>
        <v>240504.3</v>
      </c>
      <c r="J118" s="257">
        <f>'[2]9. Vzdelávanie'!$X$74</f>
        <v>0</v>
      </c>
      <c r="K118" s="258">
        <f>'[2]9. Vzdelávanie'!$Y$74</f>
        <v>0</v>
      </c>
      <c r="L118" s="259">
        <f t="shared" si="96"/>
        <v>134541</v>
      </c>
      <c r="M118" s="257">
        <f>'[3]9. Vzdelávanie'!$Z$75</f>
        <v>134541</v>
      </c>
      <c r="N118" s="257">
        <f>'[3]9. Vzdelávanie'!$AA$75</f>
        <v>0</v>
      </c>
      <c r="O118" s="355">
        <f>'[3]9. Vzdelávanie'!$AB$75</f>
        <v>0</v>
      </c>
      <c r="P118" s="677">
        <f t="shared" si="97"/>
        <v>22146.02</v>
      </c>
      <c r="Q118" s="678">
        <f>'[3]9. Vzdelávanie'!$AC$75</f>
        <v>22146.02</v>
      </c>
      <c r="R118" s="678">
        <f>'[3]9. Vzdelávanie'!$AD$75</f>
        <v>0</v>
      </c>
      <c r="S118" s="679">
        <f>'[3]9. Vzdelávanie'!$AE$75</f>
        <v>0</v>
      </c>
    </row>
    <row r="119" spans="1:19" ht="16.5" thickBot="1" x14ac:dyDescent="0.3">
      <c r="A119" s="124"/>
      <c r="B119" s="391" t="s">
        <v>461</v>
      </c>
      <c r="C119" s="362" t="s">
        <v>462</v>
      </c>
      <c r="D119" s="268">
        <f t="shared" si="94"/>
        <v>388913.99</v>
      </c>
      <c r="E119" s="395">
        <f>'[1]9. Vzdelávanie'!$W$78</f>
        <v>388913.99</v>
      </c>
      <c r="F119" s="395">
        <f>'[1]9. Vzdelávanie'!$X$78</f>
        <v>0</v>
      </c>
      <c r="G119" s="449">
        <f>'[1]9. Vzdelávanie'!$Y$78</f>
        <v>0</v>
      </c>
      <c r="H119" s="268">
        <f t="shared" si="95"/>
        <v>520079.17000000004</v>
      </c>
      <c r="I119" s="269">
        <f>'[2]9. Vzdelávanie'!$W$81</f>
        <v>520079.17000000004</v>
      </c>
      <c r="J119" s="269">
        <v>0</v>
      </c>
      <c r="K119" s="303">
        <v>0</v>
      </c>
      <c r="L119" s="268">
        <f t="shared" si="96"/>
        <v>1074796</v>
      </c>
      <c r="M119" s="269">
        <f>'[3]9. Vzdelávanie'!$Z$82</f>
        <v>1074796</v>
      </c>
      <c r="N119" s="269">
        <f>'[3]9. Vzdelávanie'!$AA$82</f>
        <v>0</v>
      </c>
      <c r="O119" s="479">
        <f>'[3]9. Vzdelávanie'!$AB$82</f>
        <v>0</v>
      </c>
      <c r="P119" s="680">
        <f t="shared" si="97"/>
        <v>878363.11</v>
      </c>
      <c r="Q119" s="681">
        <f>'[3]9. Vzdelávanie'!$AC$82</f>
        <v>878363.11</v>
      </c>
      <c r="R119" s="681">
        <f>'[3]9. Vzdelávanie'!$AD$82</f>
        <v>0</v>
      </c>
      <c r="S119" s="682">
        <f>'[3]9. Vzdelávanie'!$AE$82</f>
        <v>0</v>
      </c>
    </row>
    <row r="120" spans="1:19" s="123" customFormat="1" ht="15.75" x14ac:dyDescent="0.25">
      <c r="A120" s="125"/>
      <c r="B120" s="277" t="s">
        <v>296</v>
      </c>
      <c r="C120" s="284"/>
      <c r="D120" s="265">
        <f t="shared" ref="D120:S120" si="98">D121+D122+D130</f>
        <v>304046.42</v>
      </c>
      <c r="E120" s="266">
        <f t="shared" si="98"/>
        <v>283863.36999999994</v>
      </c>
      <c r="F120" s="266">
        <f t="shared" si="98"/>
        <v>20183.05</v>
      </c>
      <c r="G120" s="341">
        <f t="shared" si="98"/>
        <v>0</v>
      </c>
      <c r="H120" s="265">
        <f t="shared" si="98"/>
        <v>1800590.44</v>
      </c>
      <c r="I120" s="266">
        <f t="shared" si="98"/>
        <v>365647.82999999996</v>
      </c>
      <c r="J120" s="266">
        <f t="shared" si="98"/>
        <v>1434942.61</v>
      </c>
      <c r="K120" s="267">
        <f t="shared" si="98"/>
        <v>0</v>
      </c>
      <c r="L120" s="265">
        <f t="shared" si="98"/>
        <v>550715</v>
      </c>
      <c r="M120" s="266">
        <f t="shared" si="98"/>
        <v>465710</v>
      </c>
      <c r="N120" s="266">
        <f t="shared" si="98"/>
        <v>85005</v>
      </c>
      <c r="O120" s="354">
        <f t="shared" si="98"/>
        <v>0</v>
      </c>
      <c r="P120" s="674">
        <f t="shared" si="98"/>
        <v>524716.74</v>
      </c>
      <c r="Q120" s="675">
        <f t="shared" si="98"/>
        <v>446711.74000000005</v>
      </c>
      <c r="R120" s="675">
        <f t="shared" si="98"/>
        <v>78005</v>
      </c>
      <c r="S120" s="676">
        <f t="shared" si="98"/>
        <v>0</v>
      </c>
    </row>
    <row r="121" spans="1:19" ht="15.75" x14ac:dyDescent="0.25">
      <c r="B121" s="285" t="s">
        <v>297</v>
      </c>
      <c r="C121" s="274" t="s">
        <v>298</v>
      </c>
      <c r="D121" s="259">
        <f>SUM(E121:G121)</f>
        <v>1332.76</v>
      </c>
      <c r="E121" s="257">
        <f>'[1]10. Šport'!$W$4</f>
        <v>1332.76</v>
      </c>
      <c r="F121" s="257">
        <f>'[1]10. Šport'!$X$4</f>
        <v>0</v>
      </c>
      <c r="G121" s="270">
        <f>'[1]10. Šport'!$Y$4</f>
        <v>0</v>
      </c>
      <c r="H121" s="259">
        <f>SUM(I121:K121)</f>
        <v>6980.7199999999993</v>
      </c>
      <c r="I121" s="257">
        <f>'[2]10. Šport'!$W$4</f>
        <v>6980.7199999999993</v>
      </c>
      <c r="J121" s="257">
        <f>'[2]10. Šport'!$X$4</f>
        <v>0</v>
      </c>
      <c r="K121" s="258">
        <f>'[2]10. Šport'!$Y$4</f>
        <v>0</v>
      </c>
      <c r="L121" s="259">
        <f>SUM(M121:O121)</f>
        <v>2510</v>
      </c>
      <c r="M121" s="257">
        <f>'[3]10. Šport'!$Z$4</f>
        <v>2510</v>
      </c>
      <c r="N121" s="257">
        <f>'[3]10. Šport'!$AA$4</f>
        <v>0</v>
      </c>
      <c r="O121" s="355">
        <f>'[3]10. Šport'!$AB$4</f>
        <v>0</v>
      </c>
      <c r="P121" s="677">
        <f>SUM(Q121:S121)</f>
        <v>2461.89</v>
      </c>
      <c r="Q121" s="678">
        <f>'[3]10. Šport'!$AC$4</f>
        <v>2461.89</v>
      </c>
      <c r="R121" s="678">
        <f>'[3]10. Šport'!$AD$4</f>
        <v>0</v>
      </c>
      <c r="S121" s="679">
        <f>'[3]10. Šport'!$AE$4</f>
        <v>0</v>
      </c>
    </row>
    <row r="122" spans="1:19" ht="15.75" x14ac:dyDescent="0.25">
      <c r="B122" s="285" t="s">
        <v>299</v>
      </c>
      <c r="C122" s="274" t="s">
        <v>300</v>
      </c>
      <c r="D122" s="259">
        <f t="shared" ref="D122:G122" si="99">SUM(D123:D129)</f>
        <v>293779.19</v>
      </c>
      <c r="E122" s="257">
        <f t="shared" si="99"/>
        <v>273596.13999999996</v>
      </c>
      <c r="F122" s="257">
        <f t="shared" si="99"/>
        <v>20183.05</v>
      </c>
      <c r="G122" s="270">
        <f t="shared" si="99"/>
        <v>0</v>
      </c>
      <c r="H122" s="259">
        <f t="shared" ref="H122:K122" si="100">SUM(H123:H129)</f>
        <v>1783609.72</v>
      </c>
      <c r="I122" s="257">
        <f t="shared" si="100"/>
        <v>348667.11</v>
      </c>
      <c r="J122" s="257">
        <f t="shared" si="100"/>
        <v>1434942.61</v>
      </c>
      <c r="K122" s="258">
        <f t="shared" si="100"/>
        <v>0</v>
      </c>
      <c r="L122" s="259">
        <f t="shared" ref="L122:S122" si="101">SUM(L123:L129)</f>
        <v>538205</v>
      </c>
      <c r="M122" s="257">
        <f t="shared" si="101"/>
        <v>453200</v>
      </c>
      <c r="N122" s="257">
        <f t="shared" si="101"/>
        <v>85005</v>
      </c>
      <c r="O122" s="355">
        <f t="shared" si="101"/>
        <v>0</v>
      </c>
      <c r="P122" s="677">
        <f t="shared" si="101"/>
        <v>512296.4</v>
      </c>
      <c r="Q122" s="678">
        <f t="shared" si="101"/>
        <v>434291.4</v>
      </c>
      <c r="R122" s="678">
        <f t="shared" si="101"/>
        <v>78005</v>
      </c>
      <c r="S122" s="679">
        <f t="shared" si="101"/>
        <v>0</v>
      </c>
    </row>
    <row r="123" spans="1:19" ht="15.75" x14ac:dyDescent="0.25">
      <c r="B123" s="273">
        <v>1</v>
      </c>
      <c r="C123" s="274" t="s">
        <v>301</v>
      </c>
      <c r="D123" s="259">
        <f>SUM(E123:G123)</f>
        <v>21972.060000000005</v>
      </c>
      <c r="E123" s="257">
        <f>'[1]10. Šport'!$W$12</f>
        <v>21972.060000000005</v>
      </c>
      <c r="F123" s="257">
        <f>'[1]10. Šport'!$X$12</f>
        <v>0</v>
      </c>
      <c r="G123" s="270">
        <f>'[1]10. Šport'!$Y$12</f>
        <v>0</v>
      </c>
      <c r="H123" s="259">
        <f>SUM(I123:K123)</f>
        <v>55103.93</v>
      </c>
      <c r="I123" s="257">
        <f>'[2]10. Šport'!$W$12</f>
        <v>55103.93</v>
      </c>
      <c r="J123" s="257">
        <f>'[2]10. Šport'!$X$12</f>
        <v>0</v>
      </c>
      <c r="K123" s="258">
        <f>'[2]10. Šport'!$Y$12</f>
        <v>0</v>
      </c>
      <c r="L123" s="259">
        <f>SUM(M123:O123)</f>
        <v>62870</v>
      </c>
      <c r="M123" s="257">
        <f>'[3]10. Šport'!$Z$12</f>
        <v>62870</v>
      </c>
      <c r="N123" s="257">
        <f>'[3]10. Šport'!$AA$12</f>
        <v>0</v>
      </c>
      <c r="O123" s="355">
        <f>'[3]10. Šport'!$AB$12</f>
        <v>0</v>
      </c>
      <c r="P123" s="677">
        <f>SUM(Q123:S123)</f>
        <v>61795.549999999996</v>
      </c>
      <c r="Q123" s="678">
        <f>'[3]10. Šport'!$AC$12</f>
        <v>61795.549999999996</v>
      </c>
      <c r="R123" s="678">
        <f>'[3]10. Šport'!$AD$12</f>
        <v>0</v>
      </c>
      <c r="S123" s="679">
        <f>'[3]10. Šport'!$AE$12</f>
        <v>0</v>
      </c>
    </row>
    <row r="124" spans="1:19" ht="15.75" x14ac:dyDescent="0.25">
      <c r="B124" s="273">
        <v>2</v>
      </c>
      <c r="C124" s="274" t="s">
        <v>302</v>
      </c>
      <c r="D124" s="259">
        <f t="shared" ref="D124:D130" si="102">SUM(E124:G124)</f>
        <v>51888.53</v>
      </c>
      <c r="E124" s="257">
        <f>'[1]10. Šport'!$W$30</f>
        <v>51888.53</v>
      </c>
      <c r="F124" s="257">
        <f>'[1]10. Šport'!$X$30</f>
        <v>0</v>
      </c>
      <c r="G124" s="270">
        <f>'[1]10. Šport'!$Y$30</f>
        <v>0</v>
      </c>
      <c r="H124" s="259">
        <f t="shared" ref="H124:H130" si="103">SUM(I124:K124)</f>
        <v>68319.69</v>
      </c>
      <c r="I124" s="257">
        <f>'[2]10. Šport'!$W$30</f>
        <v>68319.69</v>
      </c>
      <c r="J124" s="257">
        <f>'[2]10. Šport'!$X$30</f>
        <v>0</v>
      </c>
      <c r="K124" s="258">
        <f>'[2]10. Šport'!$Y$30</f>
        <v>0</v>
      </c>
      <c r="L124" s="259">
        <f t="shared" ref="L124:L130" si="104">SUM(M124:O124)</f>
        <v>89930</v>
      </c>
      <c r="M124" s="257">
        <f>'[3]10. Šport'!$Z$32</f>
        <v>89930</v>
      </c>
      <c r="N124" s="257">
        <f>'[3]10. Šport'!$AA$32</f>
        <v>0</v>
      </c>
      <c r="O124" s="355">
        <f>'[3]10. Šport'!$AB$32</f>
        <v>0</v>
      </c>
      <c r="P124" s="677">
        <f t="shared" ref="P124:P130" si="105">SUM(Q124:S124)</f>
        <v>79820.62000000001</v>
      </c>
      <c r="Q124" s="678">
        <f>'[3]10. Šport'!$AC$32</f>
        <v>79820.62000000001</v>
      </c>
      <c r="R124" s="678">
        <f>'[3]10. Šport'!$AD$32</f>
        <v>0</v>
      </c>
      <c r="S124" s="679">
        <f>'[3]10. Šport'!$AE$32</f>
        <v>0</v>
      </c>
    </row>
    <row r="125" spans="1:19" ht="15.75" x14ac:dyDescent="0.25">
      <c r="B125" s="273">
        <v>3</v>
      </c>
      <c r="C125" s="274" t="s">
        <v>303</v>
      </c>
      <c r="D125" s="259">
        <f t="shared" si="102"/>
        <v>34292.68</v>
      </c>
      <c r="E125" s="257">
        <f>'[1]10. Šport'!$W$48</f>
        <v>17309.63</v>
      </c>
      <c r="F125" s="257">
        <f>'[1]10. Šport'!$X$48</f>
        <v>16983.05</v>
      </c>
      <c r="G125" s="270">
        <f>'[1]10. Šport'!$Y$48</f>
        <v>0</v>
      </c>
      <c r="H125" s="259">
        <f t="shared" si="103"/>
        <v>19827.400000000001</v>
      </c>
      <c r="I125" s="257">
        <f>'[2]10. Šport'!$W$48</f>
        <v>19827.400000000001</v>
      </c>
      <c r="J125" s="257">
        <f>'[2]10. Šport'!$X$48</f>
        <v>0</v>
      </c>
      <c r="K125" s="258">
        <f>'[2]10. Šport'!$Y$48</f>
        <v>0</v>
      </c>
      <c r="L125" s="259">
        <f t="shared" si="104"/>
        <v>39400</v>
      </c>
      <c r="M125" s="257">
        <f>'[3]10. Šport'!$Z$52</f>
        <v>39400</v>
      </c>
      <c r="N125" s="257">
        <f>'[3]10. Šport'!$AA$52</f>
        <v>0</v>
      </c>
      <c r="O125" s="355">
        <f>'[3]10. Šport'!$AB$52</f>
        <v>0</v>
      </c>
      <c r="P125" s="677">
        <f t="shared" si="105"/>
        <v>37659.86</v>
      </c>
      <c r="Q125" s="678">
        <f>'[3]10. Šport'!$AC$52</f>
        <v>37659.86</v>
      </c>
      <c r="R125" s="678">
        <f>'[3]10. Šport'!$AD$52</f>
        <v>0</v>
      </c>
      <c r="S125" s="679">
        <f>'[3]10. Šport'!$AE$52</f>
        <v>0</v>
      </c>
    </row>
    <row r="126" spans="1:19" ht="15.75" x14ac:dyDescent="0.25">
      <c r="B126" s="273">
        <v>4</v>
      </c>
      <c r="C126" s="274" t="s">
        <v>304</v>
      </c>
      <c r="D126" s="259">
        <f t="shared" si="102"/>
        <v>163155.13999999998</v>
      </c>
      <c r="E126" s="257">
        <f>'[1]10. Šport'!$W$58</f>
        <v>159955.13999999998</v>
      </c>
      <c r="F126" s="257">
        <f>'[1]10. Šport'!$X$58</f>
        <v>3200</v>
      </c>
      <c r="G126" s="270">
        <f>'[1]10. Šport'!$Y$58</f>
        <v>0</v>
      </c>
      <c r="H126" s="259">
        <f t="shared" si="103"/>
        <v>181088.82</v>
      </c>
      <c r="I126" s="257">
        <f>'[2]10. Šport'!$W$58</f>
        <v>181088.82</v>
      </c>
      <c r="J126" s="257">
        <f>'[2]10. Šport'!$X$58</f>
        <v>0</v>
      </c>
      <c r="K126" s="258">
        <f>'[2]10. Šport'!$Y$58</f>
        <v>0</v>
      </c>
      <c r="L126" s="259">
        <f t="shared" si="104"/>
        <v>216900</v>
      </c>
      <c r="M126" s="257">
        <f>'[3]10. Šport'!$Z$64</f>
        <v>216900</v>
      </c>
      <c r="N126" s="257">
        <f>'[3]10. Šport'!$AA$64</f>
        <v>0</v>
      </c>
      <c r="O126" s="355">
        <f>'[3]10. Šport'!$AB$64</f>
        <v>0</v>
      </c>
      <c r="P126" s="677">
        <f t="shared" si="105"/>
        <v>215029.52000000002</v>
      </c>
      <c r="Q126" s="678">
        <f>'[3]10. Šport'!$AC$64</f>
        <v>215029.52000000002</v>
      </c>
      <c r="R126" s="678">
        <f>'[3]10. Šport'!$AD$64</f>
        <v>0</v>
      </c>
      <c r="S126" s="679">
        <f>'[3]10. Šport'!$AE$64</f>
        <v>0</v>
      </c>
    </row>
    <row r="127" spans="1:19" ht="15.75" x14ac:dyDescent="0.25">
      <c r="B127" s="273">
        <v>5</v>
      </c>
      <c r="C127" s="274" t="s">
        <v>305</v>
      </c>
      <c r="D127" s="259">
        <f t="shared" si="102"/>
        <v>7935.4</v>
      </c>
      <c r="E127" s="257">
        <f>'[1]10. Šport'!$W$78</f>
        <v>7935.4</v>
      </c>
      <c r="F127" s="257">
        <f>'[1]10. Šport'!$X$78</f>
        <v>0</v>
      </c>
      <c r="G127" s="270">
        <f>'[1]10. Šport'!$Y$78</f>
        <v>0</v>
      </c>
      <c r="H127" s="259">
        <f t="shared" si="103"/>
        <v>8662.77</v>
      </c>
      <c r="I127" s="257">
        <f>'[2]10. Šport'!$W$78</f>
        <v>8662.77</v>
      </c>
      <c r="J127" s="257">
        <f>'[2]10. Šport'!$X$78</f>
        <v>0</v>
      </c>
      <c r="K127" s="258">
        <f>'[2]10. Šport'!$Y$78</f>
        <v>0</v>
      </c>
      <c r="L127" s="259">
        <f t="shared" si="104"/>
        <v>11800</v>
      </c>
      <c r="M127" s="257">
        <f>'[3]10. Šport'!$Z$85</f>
        <v>11800</v>
      </c>
      <c r="N127" s="257">
        <f>'[3]10. Šport'!$AA$85</f>
        <v>0</v>
      </c>
      <c r="O127" s="355">
        <f>'[3]10. Šport'!$AB$85</f>
        <v>0</v>
      </c>
      <c r="P127" s="677">
        <f t="shared" si="105"/>
        <v>9107.81</v>
      </c>
      <c r="Q127" s="678">
        <f>'[3]10. Šport'!$AC$85</f>
        <v>9107.81</v>
      </c>
      <c r="R127" s="678">
        <f>'[3]10. Šport'!$AD$85</f>
        <v>0</v>
      </c>
      <c r="S127" s="679">
        <f>'[3]10. Šport'!$AE$85</f>
        <v>0</v>
      </c>
    </row>
    <row r="128" spans="1:19" ht="15.75" x14ac:dyDescent="0.25">
      <c r="B128" s="289">
        <v>6</v>
      </c>
      <c r="C128" s="290" t="s">
        <v>386</v>
      </c>
      <c r="D128" s="259">
        <f t="shared" si="102"/>
        <v>239.93</v>
      </c>
      <c r="E128" s="257">
        <f>'[1]10. Šport'!$W$86</f>
        <v>239.93</v>
      </c>
      <c r="F128" s="257">
        <f>'[1]10. Šport'!$X$86</f>
        <v>0</v>
      </c>
      <c r="G128" s="270">
        <f>'[1]10. Šport'!$Y$86</f>
        <v>0</v>
      </c>
      <c r="H128" s="259">
        <f t="shared" si="103"/>
        <v>1440282.37</v>
      </c>
      <c r="I128" s="257">
        <f>'[2]10. Šport'!$W$86</f>
        <v>5339.76</v>
      </c>
      <c r="J128" s="257">
        <f>'[2]10. Šport'!$X$86</f>
        <v>1434942.61</v>
      </c>
      <c r="K128" s="258">
        <f>'[2]10. Šport'!$Y$86</f>
        <v>0</v>
      </c>
      <c r="L128" s="259">
        <f t="shared" si="104"/>
        <v>87105</v>
      </c>
      <c r="M128" s="257">
        <f>'[3]10. Šport'!$Z$93</f>
        <v>2100</v>
      </c>
      <c r="N128" s="257">
        <f>'[3]10. Šport'!$AA$93</f>
        <v>85005</v>
      </c>
      <c r="O128" s="355">
        <f>'[3]10. Šport'!$AB$93</f>
        <v>0</v>
      </c>
      <c r="P128" s="677">
        <f t="shared" si="105"/>
        <v>78717.259999999995</v>
      </c>
      <c r="Q128" s="678">
        <f>'[3]10. Šport'!$AC$93</f>
        <v>712.26</v>
      </c>
      <c r="R128" s="678">
        <f>'[3]10. Šport'!$AD$93</f>
        <v>78005</v>
      </c>
      <c r="S128" s="679">
        <f>'[3]10. Šport'!$AE$93</f>
        <v>0</v>
      </c>
    </row>
    <row r="129" spans="2:19" ht="15.75" x14ac:dyDescent="0.25">
      <c r="B129" s="289">
        <v>7</v>
      </c>
      <c r="C129" s="290" t="s">
        <v>459</v>
      </c>
      <c r="D129" s="259">
        <f t="shared" si="102"/>
        <v>14295.45</v>
      </c>
      <c r="E129" s="257">
        <f>'[1]10. Šport'!$W$91</f>
        <v>14295.45</v>
      </c>
      <c r="F129" s="257">
        <f>'[1]10. Šport'!$X$91</f>
        <v>0</v>
      </c>
      <c r="G129" s="270">
        <f>'[1]10. Šport'!$Y$91</f>
        <v>0</v>
      </c>
      <c r="H129" s="259">
        <f t="shared" si="103"/>
        <v>10324.74</v>
      </c>
      <c r="I129" s="257">
        <f>'[2]10. Šport'!$W$92</f>
        <v>10324.74</v>
      </c>
      <c r="J129" s="257">
        <f>'[2]10. Šport'!$X$92</f>
        <v>0</v>
      </c>
      <c r="K129" s="258">
        <f>'[2]10. Šport'!$Y$92</f>
        <v>0</v>
      </c>
      <c r="L129" s="259">
        <f t="shared" si="104"/>
        <v>30200</v>
      </c>
      <c r="M129" s="257">
        <f>'[3]10. Šport'!$Z$99</f>
        <v>30200</v>
      </c>
      <c r="N129" s="257">
        <f>'[3]10. Šport'!$AA$99</f>
        <v>0</v>
      </c>
      <c r="O129" s="355">
        <f>'[3]10. Šport'!$AB$99</f>
        <v>0</v>
      </c>
      <c r="P129" s="677">
        <f t="shared" si="105"/>
        <v>30165.78</v>
      </c>
      <c r="Q129" s="678">
        <f>'[3]10. Šport'!$AC$99</f>
        <v>30165.78</v>
      </c>
      <c r="R129" s="678">
        <f>'[3]10. Šport'!$AD$99</f>
        <v>0</v>
      </c>
      <c r="S129" s="679">
        <f>'[3]10. Šport'!$AE$99</f>
        <v>0</v>
      </c>
    </row>
    <row r="130" spans="2:19" ht="16.5" thickBot="1" x14ac:dyDescent="0.3">
      <c r="B130" s="280" t="s">
        <v>306</v>
      </c>
      <c r="C130" s="276" t="s">
        <v>307</v>
      </c>
      <c r="D130" s="268">
        <f t="shared" si="102"/>
        <v>8934.4699999999993</v>
      </c>
      <c r="E130" s="269">
        <f>'[1]10. Šport'!$W$99</f>
        <v>8934.4699999999993</v>
      </c>
      <c r="F130" s="269">
        <f>'[1]10. Šport'!$X$99</f>
        <v>0</v>
      </c>
      <c r="G130" s="360">
        <f>'[1]10. Šport'!$Y$99</f>
        <v>0</v>
      </c>
      <c r="H130" s="268">
        <f t="shared" si="103"/>
        <v>10000</v>
      </c>
      <c r="I130" s="269">
        <f>'[2]10. Šport'!$W$100</f>
        <v>10000</v>
      </c>
      <c r="J130" s="269">
        <f>'[2]10. Šport'!$X$100</f>
        <v>0</v>
      </c>
      <c r="K130" s="303">
        <f>'[2]10. Šport'!$Y$100</f>
        <v>0</v>
      </c>
      <c r="L130" s="268">
        <f t="shared" si="104"/>
        <v>10000</v>
      </c>
      <c r="M130" s="269">
        <f>'[3]10. Šport'!$Z$107</f>
        <v>10000</v>
      </c>
      <c r="N130" s="269">
        <f>'[3]10. Šport'!$AA$107</f>
        <v>0</v>
      </c>
      <c r="O130" s="479">
        <f>'[3]10. Šport'!$AB$107</f>
        <v>0</v>
      </c>
      <c r="P130" s="680">
        <f t="shared" si="105"/>
        <v>9958.4500000000007</v>
      </c>
      <c r="Q130" s="681">
        <f>'[3]10. Šport'!$AC$107</f>
        <v>9958.4500000000007</v>
      </c>
      <c r="R130" s="681">
        <f>'[3]10. Šport'!$AD$107</f>
        <v>0</v>
      </c>
      <c r="S130" s="682">
        <f>'[3]10. Šport'!$AE$107</f>
        <v>0</v>
      </c>
    </row>
    <row r="131" spans="2:19" s="123" customFormat="1" ht="15.75" x14ac:dyDescent="0.25">
      <c r="B131" s="277" t="s">
        <v>308</v>
      </c>
      <c r="C131" s="284"/>
      <c r="D131" s="265">
        <f t="shared" ref="D131:S131" si="106">D132+D133+D138+D139</f>
        <v>2415169.5500000003</v>
      </c>
      <c r="E131" s="266">
        <f t="shared" si="106"/>
        <v>650235.86999999988</v>
      </c>
      <c r="F131" s="266">
        <f t="shared" si="106"/>
        <v>1760409.97</v>
      </c>
      <c r="G131" s="341">
        <f t="shared" si="106"/>
        <v>4523.71</v>
      </c>
      <c r="H131" s="265">
        <f t="shared" si="106"/>
        <v>2156021.0300000003</v>
      </c>
      <c r="I131" s="266">
        <f t="shared" si="106"/>
        <v>942900.77999999991</v>
      </c>
      <c r="J131" s="266">
        <f t="shared" si="106"/>
        <v>1210007.68</v>
      </c>
      <c r="K131" s="267">
        <f t="shared" si="106"/>
        <v>3112.57</v>
      </c>
      <c r="L131" s="265">
        <f t="shared" si="106"/>
        <v>1505030</v>
      </c>
      <c r="M131" s="266">
        <f t="shared" si="106"/>
        <v>1007030</v>
      </c>
      <c r="N131" s="266">
        <f t="shared" si="106"/>
        <v>498000</v>
      </c>
      <c r="O131" s="354">
        <f t="shared" si="106"/>
        <v>0</v>
      </c>
      <c r="P131" s="674">
        <f t="shared" si="106"/>
        <v>1479200.99</v>
      </c>
      <c r="Q131" s="675">
        <f t="shared" si="106"/>
        <v>981616.06</v>
      </c>
      <c r="R131" s="675">
        <f t="shared" si="106"/>
        <v>497584.93</v>
      </c>
      <c r="S131" s="676">
        <f t="shared" si="106"/>
        <v>0</v>
      </c>
    </row>
    <row r="132" spans="2:19" ht="15.75" x14ac:dyDescent="0.25">
      <c r="B132" s="285" t="s">
        <v>309</v>
      </c>
      <c r="C132" s="274" t="s">
        <v>310</v>
      </c>
      <c r="D132" s="259">
        <f>SUM(E132:G132)</f>
        <v>12577.740000000002</v>
      </c>
      <c r="E132" s="257">
        <f>'[1]11. Kultúra'!$W$4</f>
        <v>12577.740000000002</v>
      </c>
      <c r="F132" s="257">
        <f>'[1]11. Kultúra'!$X$4</f>
        <v>0</v>
      </c>
      <c r="G132" s="270">
        <f>'[1]11. Kultúra'!$Y$4</f>
        <v>0</v>
      </c>
      <c r="H132" s="259">
        <f>SUM(I132:K132)</f>
        <v>18860.29</v>
      </c>
      <c r="I132" s="257">
        <f>'[2]11. Kultúra'!$W$4</f>
        <v>18860.29</v>
      </c>
      <c r="J132" s="257">
        <f>'[2]11. Kultúra'!$X$4</f>
        <v>0</v>
      </c>
      <c r="K132" s="258">
        <f>'[2]11. Kultúra'!$Y$4</f>
        <v>0</v>
      </c>
      <c r="L132" s="259">
        <f>SUM(M132:O132)</f>
        <v>18620</v>
      </c>
      <c r="M132" s="257">
        <f>'[3]11. Kultúra'!$Z$4</f>
        <v>18620</v>
      </c>
      <c r="N132" s="257">
        <f>'[3]11. Kultúra'!$AA$4</f>
        <v>0</v>
      </c>
      <c r="O132" s="355">
        <f>'[3]11. Kultúra'!$AB$4</f>
        <v>0</v>
      </c>
      <c r="P132" s="677">
        <f>SUM(Q132:S132)</f>
        <v>17824.310000000001</v>
      </c>
      <c r="Q132" s="678">
        <f>'[3]11. Kultúra'!$AC$4</f>
        <v>17824.310000000001</v>
      </c>
      <c r="R132" s="678">
        <f>'[3]11. Kultúra'!$AD$4</f>
        <v>0</v>
      </c>
      <c r="S132" s="679">
        <f>'[3]11. Kultúra'!$AE$4</f>
        <v>0</v>
      </c>
    </row>
    <row r="133" spans="2:19" ht="15.75" x14ac:dyDescent="0.25">
      <c r="B133" s="285" t="s">
        <v>311</v>
      </c>
      <c r="C133" s="274" t="s">
        <v>312</v>
      </c>
      <c r="D133" s="259">
        <f t="shared" ref="D133:G133" si="107">SUM(D134:D137)</f>
        <v>2369265.67</v>
      </c>
      <c r="E133" s="257">
        <f t="shared" si="107"/>
        <v>621188.66999999993</v>
      </c>
      <c r="F133" s="257">
        <f t="shared" si="107"/>
        <v>1743553.29</v>
      </c>
      <c r="G133" s="270">
        <f t="shared" si="107"/>
        <v>4523.71</v>
      </c>
      <c r="H133" s="259">
        <f t="shared" ref="H133:K133" si="108">SUM(H134:H137)</f>
        <v>2126126.4900000002</v>
      </c>
      <c r="I133" s="257">
        <f t="shared" si="108"/>
        <v>913006.23999999987</v>
      </c>
      <c r="J133" s="257">
        <f t="shared" si="108"/>
        <v>1210007.68</v>
      </c>
      <c r="K133" s="258">
        <f t="shared" si="108"/>
        <v>3112.57</v>
      </c>
      <c r="L133" s="259">
        <f t="shared" ref="L133:S133" si="109">SUM(L134:L137)</f>
        <v>1476305</v>
      </c>
      <c r="M133" s="257">
        <f t="shared" si="109"/>
        <v>978305</v>
      </c>
      <c r="N133" s="257">
        <f t="shared" si="109"/>
        <v>498000</v>
      </c>
      <c r="O133" s="355">
        <f t="shared" si="109"/>
        <v>0</v>
      </c>
      <c r="P133" s="677">
        <f t="shared" si="109"/>
        <v>1451275.38</v>
      </c>
      <c r="Q133" s="678">
        <f t="shared" si="109"/>
        <v>953690.45</v>
      </c>
      <c r="R133" s="678">
        <f t="shared" si="109"/>
        <v>497584.93</v>
      </c>
      <c r="S133" s="679">
        <f t="shared" si="109"/>
        <v>0</v>
      </c>
    </row>
    <row r="134" spans="2:19" ht="15.75" x14ac:dyDescent="0.25">
      <c r="B134" s="273">
        <v>1</v>
      </c>
      <c r="C134" s="274" t="s">
        <v>313</v>
      </c>
      <c r="D134" s="259">
        <f t="shared" ref="D134:D139" si="110">SUM(E134:G134)</f>
        <v>163237.68</v>
      </c>
      <c r="E134" s="257">
        <f>'[1]11. Kultúra'!$W$20</f>
        <v>163237.68</v>
      </c>
      <c r="F134" s="257">
        <f>'[1]11. Kultúra'!$X$20</f>
        <v>0</v>
      </c>
      <c r="G134" s="270">
        <f>'[1]11. Kultúra'!$Y$20</f>
        <v>0</v>
      </c>
      <c r="H134" s="259">
        <f t="shared" ref="H134:H139" si="111">SUM(I134:K134)</f>
        <v>170366.39</v>
      </c>
      <c r="I134" s="257">
        <f>'[2]11. Kultúra'!$W$20</f>
        <v>170366.39</v>
      </c>
      <c r="J134" s="257">
        <f>'[2]11. Kultúra'!$X$20</f>
        <v>0</v>
      </c>
      <c r="K134" s="258">
        <f>'[2]11. Kultúra'!$Y$20</f>
        <v>0</v>
      </c>
      <c r="L134" s="259">
        <f t="shared" ref="L134:L139" si="112">SUM(M134:O134)</f>
        <v>199500</v>
      </c>
      <c r="M134" s="257">
        <f>'[3]11. Kultúra'!$Z$20</f>
        <v>199500</v>
      </c>
      <c r="N134" s="257">
        <f>'[3]11. Kultúra'!$AA$20</f>
        <v>0</v>
      </c>
      <c r="O134" s="355">
        <f>'[3]11. Kultúra'!$AB$20</f>
        <v>0</v>
      </c>
      <c r="P134" s="677">
        <f t="shared" ref="P134:P139" si="113">SUM(Q134:S134)</f>
        <v>192849.67</v>
      </c>
      <c r="Q134" s="678">
        <f>'[3]11. Kultúra'!$AC$20</f>
        <v>192849.67</v>
      </c>
      <c r="R134" s="678">
        <f>'[3]11. Kultúra'!$AD$20</f>
        <v>0</v>
      </c>
      <c r="S134" s="679">
        <f>'[3]11. Kultúra'!$AE$20</f>
        <v>0</v>
      </c>
    </row>
    <row r="135" spans="2:19" ht="15.75" x14ac:dyDescent="0.25">
      <c r="B135" s="273">
        <v>2</v>
      </c>
      <c r="C135" s="274" t="s">
        <v>314</v>
      </c>
      <c r="D135" s="259">
        <f t="shared" si="110"/>
        <v>4675.01</v>
      </c>
      <c r="E135" s="257">
        <f>'[1]11. Kultúra'!$W$27</f>
        <v>4675.01</v>
      </c>
      <c r="F135" s="257">
        <f>'[1]11. Kultúra'!$X$27</f>
        <v>0</v>
      </c>
      <c r="G135" s="270">
        <f>'[1]11. Kultúra'!$Y$27</f>
        <v>0</v>
      </c>
      <c r="H135" s="259">
        <f t="shared" si="111"/>
        <v>1547.4299999999998</v>
      </c>
      <c r="I135" s="257">
        <f>'[2]11. Kultúra'!$W$27</f>
        <v>1547.4299999999998</v>
      </c>
      <c r="J135" s="257">
        <f>'[2]11. Kultúra'!$X$27</f>
        <v>0</v>
      </c>
      <c r="K135" s="258">
        <f>'[2]11. Kultúra'!$Y$27</f>
        <v>0</v>
      </c>
      <c r="L135" s="259">
        <f t="shared" si="112"/>
        <v>5550</v>
      </c>
      <c r="M135" s="257">
        <f>'[3]11. Kultúra'!$Z$27</f>
        <v>5550</v>
      </c>
      <c r="N135" s="257">
        <f>'[3]11. Kultúra'!$AA$27</f>
        <v>0</v>
      </c>
      <c r="O135" s="355">
        <f>'[3]11. Kultúra'!$AB$27</f>
        <v>0</v>
      </c>
      <c r="P135" s="677">
        <f t="shared" si="113"/>
        <v>2654.24</v>
      </c>
      <c r="Q135" s="678">
        <f>'[3]11. Kultúra'!$AC$27</f>
        <v>2654.24</v>
      </c>
      <c r="R135" s="678">
        <f>'[3]11. Kultúra'!$AD$27</f>
        <v>0</v>
      </c>
      <c r="S135" s="679">
        <f>'[3]11. Kultúra'!$AE$27</f>
        <v>0</v>
      </c>
    </row>
    <row r="136" spans="2:19" ht="15.75" x14ac:dyDescent="0.25">
      <c r="B136" s="273">
        <v>3</v>
      </c>
      <c r="C136" s="274" t="s">
        <v>315</v>
      </c>
      <c r="D136" s="259">
        <f t="shared" si="110"/>
        <v>2193720.52</v>
      </c>
      <c r="E136" s="257">
        <f>'[1]11. Kultúra'!$W$37</f>
        <v>445643.5199999999</v>
      </c>
      <c r="F136" s="257">
        <f>'[1]11. Kultúra'!$X$37</f>
        <v>1743553.29</v>
      </c>
      <c r="G136" s="270">
        <f>'[1]11. Kultúra'!$Y$37</f>
        <v>4523.71</v>
      </c>
      <c r="H136" s="259">
        <f t="shared" si="111"/>
        <v>1945466.53</v>
      </c>
      <c r="I136" s="257">
        <f>'[2]11. Kultúra'!$W$37</f>
        <v>732346.27999999991</v>
      </c>
      <c r="J136" s="257">
        <f>'[2]11. Kultúra'!$X$37</f>
        <v>1210007.68</v>
      </c>
      <c r="K136" s="258">
        <f>'[2]11. Kultúra'!$Y$37</f>
        <v>3112.57</v>
      </c>
      <c r="L136" s="259">
        <f t="shared" si="112"/>
        <v>1254106</v>
      </c>
      <c r="M136" s="257">
        <f>'[3]11. Kultúra'!$Z$37</f>
        <v>756106</v>
      </c>
      <c r="N136" s="257">
        <f>'[3]11. Kultúra'!$AA$37</f>
        <v>498000</v>
      </c>
      <c r="O136" s="355">
        <f>'[3]11. Kultúra'!$AB$37</f>
        <v>0</v>
      </c>
      <c r="P136" s="677">
        <f t="shared" si="113"/>
        <v>1243898.5</v>
      </c>
      <c r="Q136" s="678">
        <f>'[3]11. Kultúra'!$AC$37</f>
        <v>746313.57</v>
      </c>
      <c r="R136" s="678">
        <f>'[3]11. Kultúra'!$AD$37</f>
        <v>497584.93</v>
      </c>
      <c r="S136" s="679">
        <f>'[3]11. Kultúra'!$AE$37</f>
        <v>0</v>
      </c>
    </row>
    <row r="137" spans="2:19" ht="15.75" x14ac:dyDescent="0.25">
      <c r="B137" s="273">
        <v>4</v>
      </c>
      <c r="C137" s="274" t="s">
        <v>316</v>
      </c>
      <c r="D137" s="259">
        <f t="shared" si="110"/>
        <v>7632.46</v>
      </c>
      <c r="E137" s="257">
        <f>'[1]11. Kultúra'!$W$122</f>
        <v>7632.46</v>
      </c>
      <c r="F137" s="257">
        <f>'[1]11. Kultúra'!$X$122</f>
        <v>0</v>
      </c>
      <c r="G137" s="270">
        <f>'[1]11. Kultúra'!$Y$122</f>
        <v>0</v>
      </c>
      <c r="H137" s="259">
        <f t="shared" si="111"/>
        <v>8746.14</v>
      </c>
      <c r="I137" s="257">
        <f>'[2]11. Kultúra'!$W$122</f>
        <v>8746.14</v>
      </c>
      <c r="J137" s="257">
        <f>'[2]11. Kultúra'!$X$122</f>
        <v>0</v>
      </c>
      <c r="K137" s="258">
        <f>'[2]11. Kultúra'!$Y$122</f>
        <v>0</v>
      </c>
      <c r="L137" s="259">
        <f t="shared" si="112"/>
        <v>17149</v>
      </c>
      <c r="M137" s="257">
        <f>'[3]11. Kultúra'!$Z$125</f>
        <v>17149</v>
      </c>
      <c r="N137" s="257">
        <f>'[3]11. Kultúra'!$AA$125</f>
        <v>0</v>
      </c>
      <c r="O137" s="355">
        <f>'[3]11. Kultúra'!$AB$125</f>
        <v>0</v>
      </c>
      <c r="P137" s="677">
        <f t="shared" si="113"/>
        <v>11872.97</v>
      </c>
      <c r="Q137" s="678">
        <f>'[3]11. Kultúra'!$AC$125</f>
        <v>11872.97</v>
      </c>
      <c r="R137" s="678">
        <f>'[3]11. Kultúra'!$AD$125</f>
        <v>0</v>
      </c>
      <c r="S137" s="679">
        <f>'[3]11. Kultúra'!$AE$125</f>
        <v>0</v>
      </c>
    </row>
    <row r="138" spans="2:19" ht="15.75" x14ac:dyDescent="0.25">
      <c r="B138" s="285" t="s">
        <v>317</v>
      </c>
      <c r="C138" s="274" t="s">
        <v>318</v>
      </c>
      <c r="D138" s="259">
        <f t="shared" si="110"/>
        <v>25572.14</v>
      </c>
      <c r="E138" s="257">
        <f>'[1]11. Kultúra'!$W$134</f>
        <v>8715.4599999999991</v>
      </c>
      <c r="F138" s="257">
        <f>'[1]11. Kultúra'!$X$134</f>
        <v>16856.68</v>
      </c>
      <c r="G138" s="270">
        <f>'[1]11. Kultúra'!$Y$134</f>
        <v>0</v>
      </c>
      <c r="H138" s="259">
        <f t="shared" si="111"/>
        <v>1050</v>
      </c>
      <c r="I138" s="257">
        <f>'[2]11. Kultúra'!$W$134</f>
        <v>1050</v>
      </c>
      <c r="J138" s="257">
        <f>'[2]11. Kultúra'!$X$134</f>
        <v>0</v>
      </c>
      <c r="K138" s="258">
        <f>'[2]11. Kultúra'!$Y$134</f>
        <v>0</v>
      </c>
      <c r="L138" s="259">
        <f t="shared" si="112"/>
        <v>105</v>
      </c>
      <c r="M138" s="257">
        <f>'[3]11. Kultúra'!$Z$140</f>
        <v>105</v>
      </c>
      <c r="N138" s="257">
        <f>'[3]11. Kultúra'!$AA$140</f>
        <v>0</v>
      </c>
      <c r="O138" s="355">
        <f>'[3]11. Kultúra'!$AB$140</f>
        <v>0</v>
      </c>
      <c r="P138" s="677">
        <f t="shared" si="113"/>
        <v>101.3</v>
      </c>
      <c r="Q138" s="678">
        <f>'[3]11. Kultúra'!$AC$140</f>
        <v>101.3</v>
      </c>
      <c r="R138" s="678">
        <f>'[3]11. Kultúra'!$AD$140</f>
        <v>0</v>
      </c>
      <c r="S138" s="679">
        <f>'[3]11. Kultúra'!$AE$140</f>
        <v>0</v>
      </c>
    </row>
    <row r="139" spans="2:19" ht="16.5" thickBot="1" x14ac:dyDescent="0.3">
      <c r="B139" s="280" t="s">
        <v>319</v>
      </c>
      <c r="C139" s="276" t="s">
        <v>320</v>
      </c>
      <c r="D139" s="268">
        <f t="shared" si="110"/>
        <v>7754</v>
      </c>
      <c r="E139" s="364">
        <f>'[1]11. Kultúra'!$W$137</f>
        <v>7754</v>
      </c>
      <c r="F139" s="364">
        <f>'[1]11. Kultúra'!$X$137</f>
        <v>0</v>
      </c>
      <c r="G139" s="387">
        <f>'[1]11. Kultúra'!$Y$137</f>
        <v>0</v>
      </c>
      <c r="H139" s="268">
        <f t="shared" si="111"/>
        <v>9984.25</v>
      </c>
      <c r="I139" s="364">
        <f>'[2]11. Kultúra'!$W$137</f>
        <v>9984.25</v>
      </c>
      <c r="J139" s="364">
        <f>'[2]11. Kultúra'!$X$137</f>
        <v>0</v>
      </c>
      <c r="K139" s="365">
        <f>'[2]11. Kultúra'!$Y$137</f>
        <v>0</v>
      </c>
      <c r="L139" s="268">
        <f t="shared" si="112"/>
        <v>10000</v>
      </c>
      <c r="M139" s="364">
        <f>'[3]11. Kultúra'!$Z$143</f>
        <v>10000</v>
      </c>
      <c r="N139" s="364">
        <f>'[3]11. Kultúra'!$AA$143</f>
        <v>0</v>
      </c>
      <c r="O139" s="480">
        <f>'[3]11. Kultúra'!$AB$143</f>
        <v>0</v>
      </c>
      <c r="P139" s="680">
        <f t="shared" si="113"/>
        <v>10000</v>
      </c>
      <c r="Q139" s="683">
        <f>'[3]11. Kultúra'!$AC$143</f>
        <v>10000</v>
      </c>
      <c r="R139" s="683">
        <f>'[3]11. Kultúra'!$AD$143</f>
        <v>0</v>
      </c>
      <c r="S139" s="684">
        <f>'[3]11. Kultúra'!$AE$143</f>
        <v>0</v>
      </c>
    </row>
    <row r="140" spans="2:19" s="123" customFormat="1" ht="15.75" x14ac:dyDescent="0.25">
      <c r="B140" s="277" t="s">
        <v>321</v>
      </c>
      <c r="C140" s="284"/>
      <c r="D140" s="265">
        <f t="shared" ref="D140:S140" si="114">D141+D146+D147+D148+D149+D150+D151</f>
        <v>499582.73000000004</v>
      </c>
      <c r="E140" s="266">
        <f t="shared" si="114"/>
        <v>452222.81000000006</v>
      </c>
      <c r="F140" s="266">
        <f t="shared" si="114"/>
        <v>47359.92</v>
      </c>
      <c r="G140" s="341">
        <f t="shared" si="114"/>
        <v>0</v>
      </c>
      <c r="H140" s="265">
        <f t="shared" si="114"/>
        <v>437564.95</v>
      </c>
      <c r="I140" s="266">
        <f t="shared" si="114"/>
        <v>407333.66</v>
      </c>
      <c r="J140" s="266">
        <f t="shared" si="114"/>
        <v>30231.29</v>
      </c>
      <c r="K140" s="267">
        <f t="shared" si="114"/>
        <v>0</v>
      </c>
      <c r="L140" s="265">
        <f t="shared" si="114"/>
        <v>1867735</v>
      </c>
      <c r="M140" s="266">
        <f t="shared" si="114"/>
        <v>532575</v>
      </c>
      <c r="N140" s="266">
        <f t="shared" si="114"/>
        <v>1335160</v>
      </c>
      <c r="O140" s="354">
        <f t="shared" si="114"/>
        <v>0</v>
      </c>
      <c r="P140" s="674">
        <f t="shared" si="114"/>
        <v>1135683.6199999999</v>
      </c>
      <c r="Q140" s="675">
        <f t="shared" si="114"/>
        <v>455960.19999999995</v>
      </c>
      <c r="R140" s="675">
        <f t="shared" si="114"/>
        <v>679723.42</v>
      </c>
      <c r="S140" s="676">
        <f t="shared" si="114"/>
        <v>0</v>
      </c>
    </row>
    <row r="141" spans="2:19" ht="15.75" x14ac:dyDescent="0.25">
      <c r="B141" s="285" t="s">
        <v>322</v>
      </c>
      <c r="C141" s="274" t="s">
        <v>323</v>
      </c>
      <c r="D141" s="259">
        <f>SUM(D142:D145)</f>
        <v>364573.52</v>
      </c>
      <c r="E141" s="257">
        <f t="shared" ref="E141:G141" si="115">SUM(E142:E145)</f>
        <v>364573.52</v>
      </c>
      <c r="F141" s="257">
        <f t="shared" si="115"/>
        <v>0</v>
      </c>
      <c r="G141" s="270">
        <f t="shared" si="115"/>
        <v>0</v>
      </c>
      <c r="H141" s="259">
        <f t="shared" ref="H141:K141" si="116">SUM(H142:H145)</f>
        <v>343552.64999999997</v>
      </c>
      <c r="I141" s="257">
        <f t="shared" si="116"/>
        <v>332744.50999999995</v>
      </c>
      <c r="J141" s="257">
        <f t="shared" si="116"/>
        <v>10808.14</v>
      </c>
      <c r="K141" s="258">
        <f t="shared" si="116"/>
        <v>0</v>
      </c>
      <c r="L141" s="259">
        <f t="shared" ref="L141:S141" si="117">SUM(L142:L145)</f>
        <v>1324970</v>
      </c>
      <c r="M141" s="257">
        <f t="shared" si="117"/>
        <v>413310</v>
      </c>
      <c r="N141" s="257">
        <f t="shared" si="117"/>
        <v>911660</v>
      </c>
      <c r="O141" s="355">
        <f t="shared" si="117"/>
        <v>0</v>
      </c>
      <c r="P141" s="677">
        <f t="shared" si="117"/>
        <v>598591.37999999989</v>
      </c>
      <c r="Q141" s="678">
        <f t="shared" si="117"/>
        <v>340896.16</v>
      </c>
      <c r="R141" s="678">
        <f t="shared" si="117"/>
        <v>257695.22</v>
      </c>
      <c r="S141" s="679">
        <f t="shared" si="117"/>
        <v>0</v>
      </c>
    </row>
    <row r="142" spans="2:19" ht="15.75" x14ac:dyDescent="0.25">
      <c r="B142" s="273">
        <v>1</v>
      </c>
      <c r="C142" s="274" t="s">
        <v>324</v>
      </c>
      <c r="D142" s="259">
        <f>SUM(E142:G142)</f>
        <v>362443.59</v>
      </c>
      <c r="E142" s="257">
        <f>'[1]12. Prostredie pre život'!$W$5</f>
        <v>362443.59</v>
      </c>
      <c r="F142" s="257">
        <f>'[1]12. Prostredie pre život'!$X$5</f>
        <v>0</v>
      </c>
      <c r="G142" s="270">
        <f>'[1]12. Prostredie pre život'!$Y$5</f>
        <v>0</v>
      </c>
      <c r="H142" s="259">
        <f>SUM(I142:K142)</f>
        <v>336633.60000000003</v>
      </c>
      <c r="I142" s="257">
        <f>'[2]12. Prostredie pre život'!$W$5</f>
        <v>325825.46000000002</v>
      </c>
      <c r="J142" s="257">
        <f>'[2]12. Prostredie pre život'!$X$5</f>
        <v>10808.14</v>
      </c>
      <c r="K142" s="258">
        <f>'[2]12. Prostredie pre život'!$Y$5</f>
        <v>0</v>
      </c>
      <c r="L142" s="259">
        <f>SUM(M142:O142)</f>
        <v>1308370</v>
      </c>
      <c r="M142" s="257">
        <f>'[3]12. Prostredie pre život'!$Z$5</f>
        <v>396710</v>
      </c>
      <c r="N142" s="257">
        <f>'[3]12. Prostredie pre život'!$AA$5</f>
        <v>911660</v>
      </c>
      <c r="O142" s="355">
        <f>'[3]12. Prostredie pre život'!$AB$5</f>
        <v>0</v>
      </c>
      <c r="P142" s="677">
        <f>SUM(Q142:S142)</f>
        <v>583794.05999999994</v>
      </c>
      <c r="Q142" s="678">
        <f>'[3]12. Prostredie pre život'!$AC$5</f>
        <v>326098.83999999997</v>
      </c>
      <c r="R142" s="678">
        <f>'[3]12. Prostredie pre život'!$AD$5</f>
        <v>257695.22</v>
      </c>
      <c r="S142" s="679">
        <f>'[3]12. Prostredie pre život'!$AE$5</f>
        <v>0</v>
      </c>
    </row>
    <row r="143" spans="2:19" ht="15.75" x14ac:dyDescent="0.25">
      <c r="B143" s="273">
        <v>2</v>
      </c>
      <c r="C143" s="274" t="s">
        <v>325</v>
      </c>
      <c r="D143" s="259">
        <f t="shared" ref="D143:D151" si="118">SUM(E143:G143)</f>
        <v>800</v>
      </c>
      <c r="E143" s="257">
        <f>'[1]12. Prostredie pre život'!$W$22</f>
        <v>800</v>
      </c>
      <c r="F143" s="257">
        <f>'[1]12. Prostredie pre život'!$X$22</f>
        <v>0</v>
      </c>
      <c r="G143" s="270">
        <f>'[1]12. Prostredie pre život'!$Y$22</f>
        <v>0</v>
      </c>
      <c r="H143" s="259">
        <f t="shared" ref="H143:H151" si="119">SUM(I143:K143)</f>
        <v>5989.1</v>
      </c>
      <c r="I143" s="257">
        <f>'[2]12. Prostredie pre život'!$W$22</f>
        <v>5989.1</v>
      </c>
      <c r="J143" s="257">
        <f>'[2]12. Prostredie pre život'!$X$22</f>
        <v>0</v>
      </c>
      <c r="K143" s="258">
        <f>'[2]12. Prostredie pre život'!$Y$22</f>
        <v>0</v>
      </c>
      <c r="L143" s="259">
        <f t="shared" ref="L143:L151" si="120">SUM(M143:O143)</f>
        <v>13100</v>
      </c>
      <c r="M143" s="257">
        <f>'[3]12. Prostredie pre život'!$Z$22</f>
        <v>13100</v>
      </c>
      <c r="N143" s="257">
        <f>'[3]12. Prostredie pre život'!$AA$22</f>
        <v>0</v>
      </c>
      <c r="O143" s="355">
        <f>'[3]12. Prostredie pre život'!$AB$22</f>
        <v>0</v>
      </c>
      <c r="P143" s="677">
        <f t="shared" ref="P143:P151" si="121">SUM(Q143:S143)</f>
        <v>11814</v>
      </c>
      <c r="Q143" s="678">
        <f>'[3]12. Prostredie pre život'!$AC$22</f>
        <v>11814</v>
      </c>
      <c r="R143" s="678">
        <f>'[3]12. Prostredie pre život'!$AD$22</f>
        <v>0</v>
      </c>
      <c r="S143" s="679">
        <f>'[3]12. Prostredie pre život'!$AE$22</f>
        <v>0</v>
      </c>
    </row>
    <row r="144" spans="2:19" ht="15.75" x14ac:dyDescent="0.25">
      <c r="B144" s="273">
        <v>3</v>
      </c>
      <c r="C144" s="274" t="s">
        <v>326</v>
      </c>
      <c r="D144" s="259">
        <f t="shared" si="118"/>
        <v>833.13</v>
      </c>
      <c r="E144" s="257">
        <f>'[1]12. Prostredie pre život'!$W$24</f>
        <v>833.13</v>
      </c>
      <c r="F144" s="257">
        <f>'[1]12. Prostredie pre život'!$X$24</f>
        <v>0</v>
      </c>
      <c r="G144" s="270">
        <f>'[1]12. Prostredie pre život'!$Y$24</f>
        <v>0</v>
      </c>
      <c r="H144" s="259">
        <f t="shared" si="119"/>
        <v>26.35</v>
      </c>
      <c r="I144" s="257">
        <f>'[2]12. Prostredie pre život'!$W$24</f>
        <v>26.35</v>
      </c>
      <c r="J144" s="257">
        <f>'[2]12. Prostredie pre život'!$X$24</f>
        <v>0</v>
      </c>
      <c r="K144" s="258">
        <f>'[2]12. Prostredie pre život'!$Y$24</f>
        <v>0</v>
      </c>
      <c r="L144" s="259">
        <f t="shared" si="120"/>
        <v>500</v>
      </c>
      <c r="M144" s="257">
        <f>'[3]12. Prostredie pre život'!$Z$24</f>
        <v>500</v>
      </c>
      <c r="N144" s="257">
        <f>'[3]12. Prostredie pre život'!$AA$24</f>
        <v>0</v>
      </c>
      <c r="O144" s="355">
        <f>'[3]12. Prostredie pre život'!$AB$24</f>
        <v>0</v>
      </c>
      <c r="P144" s="677">
        <f t="shared" si="121"/>
        <v>378.12</v>
      </c>
      <c r="Q144" s="678">
        <f>'[3]12. Prostredie pre život'!$AC$24</f>
        <v>378.12</v>
      </c>
      <c r="R144" s="678">
        <f>'[3]12. Prostredie pre život'!$AD$24</f>
        <v>0</v>
      </c>
      <c r="S144" s="679">
        <f>'[3]12. Prostredie pre život'!$AE$24</f>
        <v>0</v>
      </c>
    </row>
    <row r="145" spans="1:19" ht="15.75" x14ac:dyDescent="0.25">
      <c r="B145" s="273">
        <v>4</v>
      </c>
      <c r="C145" s="274" t="s">
        <v>327</v>
      </c>
      <c r="D145" s="259">
        <f t="shared" si="118"/>
        <v>496.8</v>
      </c>
      <c r="E145" s="257">
        <f>'[1]12. Prostredie pre život'!$W$41</f>
        <v>496.8</v>
      </c>
      <c r="F145" s="257">
        <f>'[1]12. Prostredie pre život'!$X$41</f>
        <v>0</v>
      </c>
      <c r="G145" s="270">
        <f>'[1]12. Prostredie pre život'!$Y$41</f>
        <v>0</v>
      </c>
      <c r="H145" s="259">
        <f t="shared" si="119"/>
        <v>903.6</v>
      </c>
      <c r="I145" s="257">
        <f>'[2]12. Prostredie pre život'!$W$41</f>
        <v>903.6</v>
      </c>
      <c r="J145" s="257">
        <f>'[2]12. Prostredie pre život'!$X$41</f>
        <v>0</v>
      </c>
      <c r="K145" s="258">
        <f>'[2]12. Prostredie pre život'!$Y$41</f>
        <v>0</v>
      </c>
      <c r="L145" s="259">
        <f t="shared" si="120"/>
        <v>3000</v>
      </c>
      <c r="M145" s="257">
        <f>'[3]12. Prostredie pre život'!$Z$41</f>
        <v>3000</v>
      </c>
      <c r="N145" s="257">
        <f>'[3]12. Prostredie pre život'!$AA$41</f>
        <v>0</v>
      </c>
      <c r="O145" s="355">
        <f>'[3]12. Prostredie pre život'!$AB$41</f>
        <v>0</v>
      </c>
      <c r="P145" s="677">
        <f t="shared" si="121"/>
        <v>2605.1999999999998</v>
      </c>
      <c r="Q145" s="678">
        <f>'[3]12. Prostredie pre život'!$AC$41</f>
        <v>2605.1999999999998</v>
      </c>
      <c r="R145" s="678">
        <f>'[3]12. Prostredie pre život'!$AD$41</f>
        <v>0</v>
      </c>
      <c r="S145" s="679">
        <f>'[3]12. Prostredie pre život'!$AE$41</f>
        <v>0</v>
      </c>
    </row>
    <row r="146" spans="1:19" ht="15.75" x14ac:dyDescent="0.25">
      <c r="B146" s="285" t="s">
        <v>328</v>
      </c>
      <c r="C146" s="274" t="s">
        <v>329</v>
      </c>
      <c r="D146" s="259">
        <f t="shared" si="118"/>
        <v>1105.8</v>
      </c>
      <c r="E146" s="257">
        <f>'[1]12. Prostredie pre život'!$W$45</f>
        <v>1105.8</v>
      </c>
      <c r="F146" s="257">
        <f>'[1]12. Prostredie pre život'!$X$45</f>
        <v>0</v>
      </c>
      <c r="G146" s="270">
        <f>'[1]12. Prostredie pre život'!$Y$45</f>
        <v>0</v>
      </c>
      <c r="H146" s="259">
        <f t="shared" si="119"/>
        <v>978</v>
      </c>
      <c r="I146" s="257">
        <f>'[2]12. Prostredie pre život'!$W$45</f>
        <v>978</v>
      </c>
      <c r="J146" s="257">
        <f>'[2]12. Prostredie pre život'!$X$45</f>
        <v>0</v>
      </c>
      <c r="K146" s="258">
        <f>'[2]12. Prostredie pre život'!$Y$45</f>
        <v>0</v>
      </c>
      <c r="L146" s="259">
        <f t="shared" si="120"/>
        <v>6110</v>
      </c>
      <c r="M146" s="257">
        <f>'[3]12. Prostredie pre život'!$Z$45</f>
        <v>6110</v>
      </c>
      <c r="N146" s="257">
        <f>'[3]12. Prostredie pre život'!$AA$45</f>
        <v>0</v>
      </c>
      <c r="O146" s="355">
        <f>'[3]12. Prostredie pre život'!$AB$45</f>
        <v>0</v>
      </c>
      <c r="P146" s="677">
        <f t="shared" si="121"/>
        <v>5430</v>
      </c>
      <c r="Q146" s="678">
        <f>'[3]12. Prostredie pre život'!$AC$45</f>
        <v>5430</v>
      </c>
      <c r="R146" s="678">
        <f>'[3]12. Prostredie pre život'!$AD$45</f>
        <v>0</v>
      </c>
      <c r="S146" s="679">
        <f>'[3]12. Prostredie pre život'!$AE$45</f>
        <v>0</v>
      </c>
    </row>
    <row r="147" spans="1:19" ht="15.75" x14ac:dyDescent="0.25">
      <c r="A147" s="124"/>
      <c r="B147" s="291" t="s">
        <v>330</v>
      </c>
      <c r="C147" s="274" t="s">
        <v>331</v>
      </c>
      <c r="D147" s="259">
        <f t="shared" si="118"/>
        <v>34512.299999999996</v>
      </c>
      <c r="E147" s="257">
        <f>'[1]12. Prostredie pre život'!$W$48</f>
        <v>22395.17</v>
      </c>
      <c r="F147" s="257">
        <f>'[1]12. Prostredie pre život'!$X$48</f>
        <v>12117.13</v>
      </c>
      <c r="G147" s="270">
        <f>'[1]12. Prostredie pre život'!$Y$48</f>
        <v>0</v>
      </c>
      <c r="H147" s="259">
        <f t="shared" si="119"/>
        <v>16520.400000000001</v>
      </c>
      <c r="I147" s="257">
        <f>'[2]12. Prostredie pre život'!$W$48</f>
        <v>16520.400000000001</v>
      </c>
      <c r="J147" s="257">
        <f>'[2]12. Prostredie pre život'!$X$48</f>
        <v>0</v>
      </c>
      <c r="K147" s="258">
        <f>'[2]12. Prostredie pre život'!$Y$48</f>
        <v>0</v>
      </c>
      <c r="L147" s="259">
        <f t="shared" si="120"/>
        <v>457150</v>
      </c>
      <c r="M147" s="257">
        <f>'[3]12. Prostredie pre život'!$Z$48</f>
        <v>33650</v>
      </c>
      <c r="N147" s="257">
        <f>'[3]12. Prostredie pre život'!$AA$48</f>
        <v>423500</v>
      </c>
      <c r="O147" s="355">
        <f>'[3]12. Prostredie pre život'!$AB$48</f>
        <v>0</v>
      </c>
      <c r="P147" s="677">
        <f t="shared" si="121"/>
        <v>454643.88</v>
      </c>
      <c r="Q147" s="678">
        <f>'[3]12. Prostredie pre život'!$AC$48</f>
        <v>32615.680000000008</v>
      </c>
      <c r="R147" s="678">
        <f>'[3]12. Prostredie pre život'!$AD$48</f>
        <v>422028.2</v>
      </c>
      <c r="S147" s="679">
        <f>'[3]12. Prostredie pre život'!$AE$48</f>
        <v>0</v>
      </c>
    </row>
    <row r="148" spans="1:19" ht="15.75" x14ac:dyDescent="0.25">
      <c r="A148" s="124"/>
      <c r="B148" s="291" t="s">
        <v>332</v>
      </c>
      <c r="C148" s="274" t="s">
        <v>333</v>
      </c>
      <c r="D148" s="259">
        <f t="shared" si="118"/>
        <v>485.26</v>
      </c>
      <c r="E148" s="257">
        <f>'[1]12. Prostredie pre život'!$W$68</f>
        <v>485.26</v>
      </c>
      <c r="F148" s="257">
        <f>'[1]12. Prostredie pre život'!$X$68</f>
        <v>0</v>
      </c>
      <c r="G148" s="270">
        <f>'[1]12. Prostredie pre život'!$Y$68</f>
        <v>0</v>
      </c>
      <c r="H148" s="259">
        <f t="shared" si="119"/>
        <v>481.65</v>
      </c>
      <c r="I148" s="257">
        <f>'[2]12. Prostredie pre život'!$W$68</f>
        <v>481.65</v>
      </c>
      <c r="J148" s="257">
        <f>'[2]12. Prostredie pre život'!$X$68</f>
        <v>0</v>
      </c>
      <c r="K148" s="258">
        <f>'[2]12. Prostredie pre život'!$Y$68</f>
        <v>0</v>
      </c>
      <c r="L148" s="259">
        <f t="shared" si="120"/>
        <v>505</v>
      </c>
      <c r="M148" s="257">
        <f>'[3]12. Prostredie pre život'!$Z$68</f>
        <v>505</v>
      </c>
      <c r="N148" s="257">
        <f>'[3]12. Prostredie pre život'!$AA$68</f>
        <v>0</v>
      </c>
      <c r="O148" s="355">
        <f>'[3]12. Prostredie pre život'!$AB$68</f>
        <v>0</v>
      </c>
      <c r="P148" s="677">
        <f t="shared" si="121"/>
        <v>500.05</v>
      </c>
      <c r="Q148" s="678">
        <f>'[3]12. Prostredie pre život'!$AC$68</f>
        <v>500.05</v>
      </c>
      <c r="R148" s="678">
        <f>'[3]12. Prostredie pre život'!$AD$68</f>
        <v>0</v>
      </c>
      <c r="S148" s="679">
        <f>'[3]12. Prostredie pre život'!$AE$68</f>
        <v>0</v>
      </c>
    </row>
    <row r="149" spans="1:19" ht="15.75" x14ac:dyDescent="0.25">
      <c r="A149" s="124"/>
      <c r="B149" s="291" t="s">
        <v>334</v>
      </c>
      <c r="C149" s="274" t="s">
        <v>335</v>
      </c>
      <c r="D149" s="259">
        <f t="shared" si="118"/>
        <v>29289.4</v>
      </c>
      <c r="E149" s="257">
        <f>'[1]12. Prostredie pre život'!$W$70</f>
        <v>29289.4</v>
      </c>
      <c r="F149" s="257">
        <f>'[1]12. Prostredie pre život'!$X$70</f>
        <v>0</v>
      </c>
      <c r="G149" s="270">
        <f>'[1]12. Prostredie pre život'!$Y$70</f>
        <v>0</v>
      </c>
      <c r="H149" s="259">
        <f t="shared" si="119"/>
        <v>31719.87</v>
      </c>
      <c r="I149" s="257">
        <f>'[2]12. Prostredie pre život'!$W$70</f>
        <v>31719.87</v>
      </c>
      <c r="J149" s="257">
        <f>'[2]12. Prostredie pre život'!$X$70</f>
        <v>0</v>
      </c>
      <c r="K149" s="258">
        <f>'[2]12. Prostredie pre život'!$Y$70</f>
        <v>0</v>
      </c>
      <c r="L149" s="259">
        <f t="shared" si="120"/>
        <v>41000</v>
      </c>
      <c r="M149" s="257">
        <f>'[3]12. Prostredie pre život'!$Z$70</f>
        <v>41000</v>
      </c>
      <c r="N149" s="257">
        <f>'[3]12. Prostredie pre život'!$AA$70</f>
        <v>0</v>
      </c>
      <c r="O149" s="355">
        <f>'[3]12. Prostredie pre život'!$AB$70</f>
        <v>0</v>
      </c>
      <c r="P149" s="677">
        <f t="shared" si="121"/>
        <v>40835.03</v>
      </c>
      <c r="Q149" s="678">
        <f>'[3]12. Prostredie pre život'!$AC$70</f>
        <v>40835.03</v>
      </c>
      <c r="R149" s="678">
        <f>'[3]12. Prostredie pre život'!$AD$70</f>
        <v>0</v>
      </c>
      <c r="S149" s="679">
        <f>'[3]12. Prostredie pre život'!$AE$70</f>
        <v>0</v>
      </c>
    </row>
    <row r="150" spans="1:19" ht="15.75" x14ac:dyDescent="0.25">
      <c r="A150" s="124"/>
      <c r="B150" s="292" t="s">
        <v>336</v>
      </c>
      <c r="C150" s="290" t="s">
        <v>337</v>
      </c>
      <c r="D150" s="259">
        <f t="shared" si="118"/>
        <v>69616.450000000012</v>
      </c>
      <c r="E150" s="257">
        <f>'[1]12. Prostredie pre život'!$W$74</f>
        <v>34373.660000000003</v>
      </c>
      <c r="F150" s="257">
        <f>'[1]12. Prostredie pre život'!$X$74</f>
        <v>35242.79</v>
      </c>
      <c r="G150" s="270">
        <f>'[1]12. Prostredie pre život'!$Y$74</f>
        <v>0</v>
      </c>
      <c r="H150" s="259">
        <f t="shared" si="119"/>
        <v>44312.380000000005</v>
      </c>
      <c r="I150" s="257">
        <f>'[2]12. Prostredie pre život'!$W$74</f>
        <v>24889.23</v>
      </c>
      <c r="J150" s="257">
        <f>'[2]12. Prostredie pre život'!$X$74</f>
        <v>19423.150000000001</v>
      </c>
      <c r="K150" s="258">
        <f>'[2]12. Prostredie pre život'!$Y$74</f>
        <v>0</v>
      </c>
      <c r="L150" s="259">
        <f t="shared" si="120"/>
        <v>38000</v>
      </c>
      <c r="M150" s="257">
        <f>'[3]12. Prostredie pre život'!$Z$74</f>
        <v>38000</v>
      </c>
      <c r="N150" s="257">
        <f>'[3]12. Prostredie pre život'!$AA$74</f>
        <v>0</v>
      </c>
      <c r="O150" s="355">
        <f>'[3]12. Prostredie pre život'!$AB$74</f>
        <v>0</v>
      </c>
      <c r="P150" s="677">
        <f t="shared" si="121"/>
        <v>35683.279999999999</v>
      </c>
      <c r="Q150" s="678">
        <f>'[3]12. Prostredie pre život'!$AC$74</f>
        <v>35683.279999999999</v>
      </c>
      <c r="R150" s="678">
        <f>'[3]12. Prostredie pre život'!$AD$74</f>
        <v>0</v>
      </c>
      <c r="S150" s="679">
        <f>'[3]12. Prostredie pre život'!$AE$74</f>
        <v>0</v>
      </c>
    </row>
    <row r="151" spans="1:19" ht="16.5" thickBot="1" x14ac:dyDescent="0.3">
      <c r="A151" s="124"/>
      <c r="B151" s="293" t="s">
        <v>338</v>
      </c>
      <c r="C151" s="276" t="s">
        <v>413</v>
      </c>
      <c r="D151" s="268">
        <f t="shared" si="118"/>
        <v>0</v>
      </c>
      <c r="E151" s="269">
        <f>'[1]12. Prostredie pre život'!$W$100</f>
        <v>0</v>
      </c>
      <c r="F151" s="269">
        <f>'[1]12. Prostredie pre život'!$X$100</f>
        <v>0</v>
      </c>
      <c r="G151" s="360">
        <f>'[1]12. Prostredie pre život'!$Y$100</f>
        <v>0</v>
      </c>
      <c r="H151" s="268">
        <f t="shared" si="119"/>
        <v>0</v>
      </c>
      <c r="I151" s="269">
        <f>'[2]12. Prostredie pre život'!$W$100</f>
        <v>0</v>
      </c>
      <c r="J151" s="269">
        <f>'[2]12. Prostredie pre život'!$X$100</f>
        <v>0</v>
      </c>
      <c r="K151" s="303">
        <f>'[2]12. Prostredie pre život'!$Y$100</f>
        <v>0</v>
      </c>
      <c r="L151" s="268">
        <f t="shared" si="120"/>
        <v>0</v>
      </c>
      <c r="M151" s="269">
        <f>'[3]12. Prostredie pre život'!$Z$102</f>
        <v>0</v>
      </c>
      <c r="N151" s="269">
        <f>'[3]12. Prostredie pre život'!$AA$102</f>
        <v>0</v>
      </c>
      <c r="O151" s="479">
        <f>'[3]12. Prostredie pre život'!$AB$102</f>
        <v>0</v>
      </c>
      <c r="P151" s="680">
        <f t="shared" si="121"/>
        <v>0</v>
      </c>
      <c r="Q151" s="681">
        <f>'[3]12. Prostredie pre život'!$AC$102</f>
        <v>0</v>
      </c>
      <c r="R151" s="681">
        <f>'[3]12. Prostredie pre život'!$AD$102</f>
        <v>0</v>
      </c>
      <c r="S151" s="682">
        <f>'[3]12. Prostredie pre život'!$AE$102</f>
        <v>0</v>
      </c>
    </row>
    <row r="152" spans="1:19" s="123" customFormat="1" ht="15.75" x14ac:dyDescent="0.25">
      <c r="A152" s="125"/>
      <c r="B152" s="294" t="s">
        <v>340</v>
      </c>
      <c r="C152" s="295" t="s">
        <v>341</v>
      </c>
      <c r="D152" s="265">
        <f t="shared" ref="D152:G152" si="122">D153+D157+D162+D167+D171+D172+D173+D175+D176</f>
        <v>2069612.56</v>
      </c>
      <c r="E152" s="266">
        <f t="shared" si="122"/>
        <v>2031078.8199999998</v>
      </c>
      <c r="F152" s="266">
        <f t="shared" si="122"/>
        <v>38533.740000000005</v>
      </c>
      <c r="G152" s="341">
        <f t="shared" si="122"/>
        <v>0</v>
      </c>
      <c r="H152" s="265">
        <f t="shared" ref="H152:S152" si="123">H153+H157+H162+H167+H171+H172+H173+H175+H176+H177</f>
        <v>2339512.7799999998</v>
      </c>
      <c r="I152" s="266">
        <f t="shared" si="123"/>
        <v>2333426.7799999998</v>
      </c>
      <c r="J152" s="266">
        <f t="shared" si="123"/>
        <v>0</v>
      </c>
      <c r="K152" s="267">
        <f t="shared" si="123"/>
        <v>6086</v>
      </c>
      <c r="L152" s="265">
        <f t="shared" si="123"/>
        <v>3197750</v>
      </c>
      <c r="M152" s="266">
        <f t="shared" si="123"/>
        <v>3152960</v>
      </c>
      <c r="N152" s="266">
        <f t="shared" si="123"/>
        <v>37640</v>
      </c>
      <c r="O152" s="354">
        <f t="shared" si="123"/>
        <v>7150</v>
      </c>
      <c r="P152" s="674">
        <f t="shared" si="123"/>
        <v>2999990.5600000005</v>
      </c>
      <c r="Q152" s="675">
        <f t="shared" si="123"/>
        <v>2973371.4200000009</v>
      </c>
      <c r="R152" s="675">
        <f t="shared" si="123"/>
        <v>26619.14</v>
      </c>
      <c r="S152" s="676">
        <f t="shared" si="123"/>
        <v>0</v>
      </c>
    </row>
    <row r="153" spans="1:19" ht="15.75" x14ac:dyDescent="0.25">
      <c r="A153" s="124"/>
      <c r="B153" s="285" t="s">
        <v>342</v>
      </c>
      <c r="C153" s="274" t="s">
        <v>343</v>
      </c>
      <c r="D153" s="259">
        <f t="shared" ref="D153:G153" si="124">SUM(D154:D156)</f>
        <v>41114.86</v>
      </c>
      <c r="E153" s="257">
        <f t="shared" si="124"/>
        <v>41114.86</v>
      </c>
      <c r="F153" s="257">
        <f t="shared" si="124"/>
        <v>0</v>
      </c>
      <c r="G153" s="270">
        <f t="shared" si="124"/>
        <v>0</v>
      </c>
      <c r="H153" s="259">
        <f t="shared" ref="H153:K153" si="125">SUM(H154:H156)</f>
        <v>37668.339999999997</v>
      </c>
      <c r="I153" s="257">
        <f t="shared" si="125"/>
        <v>37668.339999999997</v>
      </c>
      <c r="J153" s="257">
        <f t="shared" si="125"/>
        <v>0</v>
      </c>
      <c r="K153" s="258">
        <f t="shared" si="125"/>
        <v>0</v>
      </c>
      <c r="L153" s="259">
        <f t="shared" ref="L153:S153" si="126">SUM(L154:L156)</f>
        <v>41700</v>
      </c>
      <c r="M153" s="257">
        <f t="shared" si="126"/>
        <v>41700</v>
      </c>
      <c r="N153" s="257">
        <f t="shared" si="126"/>
        <v>0</v>
      </c>
      <c r="O153" s="355">
        <f t="shared" si="126"/>
        <v>0</v>
      </c>
      <c r="P153" s="677">
        <f t="shared" si="126"/>
        <v>37880</v>
      </c>
      <c r="Q153" s="678">
        <f t="shared" si="126"/>
        <v>37880</v>
      </c>
      <c r="R153" s="678">
        <f t="shared" si="126"/>
        <v>0</v>
      </c>
      <c r="S153" s="679">
        <f t="shared" si="126"/>
        <v>0</v>
      </c>
    </row>
    <row r="154" spans="1:19" ht="15.75" x14ac:dyDescent="0.25">
      <c r="A154" s="124"/>
      <c r="B154" s="273">
        <v>1</v>
      </c>
      <c r="C154" s="274" t="s">
        <v>344</v>
      </c>
      <c r="D154" s="259">
        <f>SUM(E154:G154)</f>
        <v>35850.92</v>
      </c>
      <c r="E154" s="257">
        <f>'[1]13. Sociálna starostlivosť'!$W$5</f>
        <v>35850.92</v>
      </c>
      <c r="F154" s="257">
        <f>'[1]13. Sociálna starostlivosť'!$X$5</f>
        <v>0</v>
      </c>
      <c r="G154" s="270">
        <f>'[1]13. Sociálna starostlivosť'!$Y$5</f>
        <v>0</v>
      </c>
      <c r="H154" s="259">
        <f>SUM(I154:K154)</f>
        <v>32600</v>
      </c>
      <c r="I154" s="257">
        <f>'[2]13. Sociálna starostlivosť'!$W$5</f>
        <v>32600</v>
      </c>
      <c r="J154" s="257">
        <f>'[2]13. Sociálna starostlivosť'!$X$5</f>
        <v>0</v>
      </c>
      <c r="K154" s="258">
        <f>'[2]13. Sociálna starostlivosť'!$Y$5</f>
        <v>0</v>
      </c>
      <c r="L154" s="259">
        <f>SUM(M154:O154)</f>
        <v>32170</v>
      </c>
      <c r="M154" s="257">
        <f>'[3]13. Sociálna starostlivosť'!$Z$5</f>
        <v>32170</v>
      </c>
      <c r="N154" s="257">
        <f>'[3]13. Sociálna starostlivosť'!$AA$5</f>
        <v>0</v>
      </c>
      <c r="O154" s="355">
        <f>'[3]13. Sociálna starostlivosť'!$AB$5</f>
        <v>0</v>
      </c>
      <c r="P154" s="677">
        <f>SUM(Q154:S154)</f>
        <v>32170</v>
      </c>
      <c r="Q154" s="678">
        <f>'[3]13. Sociálna starostlivosť'!$AC$5</f>
        <v>32170</v>
      </c>
      <c r="R154" s="678">
        <f>'[3]13. Sociálna starostlivosť'!$AD$5</f>
        <v>0</v>
      </c>
      <c r="S154" s="679">
        <f>'[3]13. Sociálna starostlivosť'!$AE$5</f>
        <v>0</v>
      </c>
    </row>
    <row r="155" spans="1:19" ht="15.75" x14ac:dyDescent="0.25">
      <c r="A155" s="124"/>
      <c r="B155" s="273">
        <v>2</v>
      </c>
      <c r="C155" s="274" t="s">
        <v>345</v>
      </c>
      <c r="D155" s="259">
        <f>SUM(E155:G155)</f>
        <v>0</v>
      </c>
      <c r="E155" s="257">
        <f>'[1]13. Sociálna starostlivosť'!$W$8</f>
        <v>0</v>
      </c>
      <c r="F155" s="257">
        <f>'[1]13. Sociálna starostlivosť'!$X$8</f>
        <v>0</v>
      </c>
      <c r="G155" s="270">
        <f>'[1]13. Sociálna starostlivosť'!$Y$8</f>
        <v>0</v>
      </c>
      <c r="H155" s="259">
        <f>SUM(I155:K155)</f>
        <v>0</v>
      </c>
      <c r="I155" s="257">
        <v>0</v>
      </c>
      <c r="J155" s="257">
        <v>0</v>
      </c>
      <c r="K155" s="258">
        <v>0</v>
      </c>
      <c r="L155" s="259">
        <f>SUM(M155:O155)</f>
        <v>0</v>
      </c>
      <c r="M155" s="257">
        <f>'[3]13. Sociálna starostlivosť'!$Z$8</f>
        <v>0</v>
      </c>
      <c r="N155" s="257">
        <f>'[3]13. Sociálna starostlivosť'!$AA$8</f>
        <v>0</v>
      </c>
      <c r="O155" s="355">
        <f>'[3]13. Sociálna starostlivosť'!$AB$8</f>
        <v>0</v>
      </c>
      <c r="P155" s="677">
        <f>SUM(Q155:S155)</f>
        <v>0</v>
      </c>
      <c r="Q155" s="678">
        <f>'[3]13. Sociálna starostlivosť'!$AC$8</f>
        <v>0</v>
      </c>
      <c r="R155" s="678">
        <f>'[3]13. Sociálna starostlivosť'!$AD$8</f>
        <v>0</v>
      </c>
      <c r="S155" s="679">
        <f>'[3]13. Sociálna starostlivosť'!$AE$8</f>
        <v>0</v>
      </c>
    </row>
    <row r="156" spans="1:19" ht="15.75" x14ac:dyDescent="0.25">
      <c r="A156" s="124"/>
      <c r="B156" s="273">
        <v>3</v>
      </c>
      <c r="C156" s="274" t="s">
        <v>346</v>
      </c>
      <c r="D156" s="259">
        <f>SUM(E156:G156)</f>
        <v>5263.94</v>
      </c>
      <c r="E156" s="257">
        <f>'[1]13. Sociálna starostlivosť'!$W$9</f>
        <v>5263.94</v>
      </c>
      <c r="F156" s="257">
        <f>'[1]13. Sociálna starostlivosť'!$X$9</f>
        <v>0</v>
      </c>
      <c r="G156" s="270">
        <f>'[1]13. Sociálna starostlivosť'!$Y$9</f>
        <v>0</v>
      </c>
      <c r="H156" s="259">
        <f>SUM(I156:K156)</f>
        <v>5068.34</v>
      </c>
      <c r="I156" s="257">
        <f>'[2]13. Sociálna starostlivosť'!$W$9</f>
        <v>5068.34</v>
      </c>
      <c r="J156" s="257">
        <f>'[2]13. Sociálna starostlivosť'!$X$9</f>
        <v>0</v>
      </c>
      <c r="K156" s="258">
        <f>'[2]13. Sociálna starostlivosť'!$Y$9</f>
        <v>0</v>
      </c>
      <c r="L156" s="259">
        <f>SUM(M156:O156)</f>
        <v>9530</v>
      </c>
      <c r="M156" s="257">
        <f>'[3]13. Sociálna starostlivosť'!$Z$9</f>
        <v>9530</v>
      </c>
      <c r="N156" s="257">
        <f>'[3]13. Sociálna starostlivosť'!$AA$9</f>
        <v>0</v>
      </c>
      <c r="O156" s="355">
        <f>'[3]13. Sociálna starostlivosť'!$AB$9</f>
        <v>0</v>
      </c>
      <c r="P156" s="677">
        <f>SUM(Q156:S156)</f>
        <v>5710</v>
      </c>
      <c r="Q156" s="678">
        <f>'[3]13. Sociálna starostlivosť'!$AC$9</f>
        <v>5710</v>
      </c>
      <c r="R156" s="678">
        <f>'[3]13. Sociálna starostlivosť'!$AD$9</f>
        <v>0</v>
      </c>
      <c r="S156" s="679">
        <f>'[3]13. Sociálna starostlivosť'!$AE$9</f>
        <v>0</v>
      </c>
    </row>
    <row r="157" spans="1:19" ht="15.75" x14ac:dyDescent="0.25">
      <c r="A157" s="125"/>
      <c r="B157" s="285" t="s">
        <v>347</v>
      </c>
      <c r="C157" s="274" t="s">
        <v>348</v>
      </c>
      <c r="D157" s="259">
        <f t="shared" ref="D157:G157" si="127">SUM(D158:D161)</f>
        <v>402365.03</v>
      </c>
      <c r="E157" s="257">
        <f t="shared" si="127"/>
        <v>402365.03</v>
      </c>
      <c r="F157" s="257">
        <f t="shared" si="127"/>
        <v>0</v>
      </c>
      <c r="G157" s="270">
        <f t="shared" si="127"/>
        <v>0</v>
      </c>
      <c r="H157" s="259">
        <f t="shared" ref="H157:K157" si="128">SUM(H158:H161)</f>
        <v>337074.39</v>
      </c>
      <c r="I157" s="257">
        <f t="shared" si="128"/>
        <v>337074.39</v>
      </c>
      <c r="J157" s="257">
        <f t="shared" si="128"/>
        <v>0</v>
      </c>
      <c r="K157" s="258">
        <f t="shared" si="128"/>
        <v>0</v>
      </c>
      <c r="L157" s="259">
        <f t="shared" ref="L157:S157" si="129">SUM(L158:L161)</f>
        <v>440830</v>
      </c>
      <c r="M157" s="257">
        <f t="shared" si="129"/>
        <v>429830</v>
      </c>
      <c r="N157" s="257">
        <f t="shared" si="129"/>
        <v>11000</v>
      </c>
      <c r="O157" s="355">
        <f t="shared" si="129"/>
        <v>0</v>
      </c>
      <c r="P157" s="677">
        <f t="shared" si="129"/>
        <v>427388.27</v>
      </c>
      <c r="Q157" s="678">
        <f t="shared" si="129"/>
        <v>427388.27</v>
      </c>
      <c r="R157" s="678">
        <f t="shared" si="129"/>
        <v>0</v>
      </c>
      <c r="S157" s="679">
        <f t="shared" si="129"/>
        <v>0</v>
      </c>
    </row>
    <row r="158" spans="1:19" ht="15.75" x14ac:dyDescent="0.25">
      <c r="A158" s="125"/>
      <c r="B158" s="273">
        <v>1</v>
      </c>
      <c r="C158" s="274" t="s">
        <v>349</v>
      </c>
      <c r="D158" s="259">
        <f>SUM(E158:G158)</f>
        <v>282850</v>
      </c>
      <c r="E158" s="257">
        <f>'[1]13. Sociálna starostlivosť'!$W$17</f>
        <v>282850</v>
      </c>
      <c r="F158" s="257">
        <f>'[1]13. Sociálna starostlivosť'!$X$17</f>
        <v>0</v>
      </c>
      <c r="G158" s="270">
        <f>'[1]13. Sociálna starostlivosť'!$Y$17</f>
        <v>0</v>
      </c>
      <c r="H158" s="259">
        <f>SUM(I158:K158)</f>
        <v>196630</v>
      </c>
      <c r="I158" s="257">
        <f>'[2]13. Sociálna starostlivosť'!$W$17</f>
        <v>196630</v>
      </c>
      <c r="J158" s="257">
        <f>'[2]13. Sociálna starostlivosť'!$X$17</f>
        <v>0</v>
      </c>
      <c r="K158" s="258">
        <f>'[2]13. Sociálna starostlivosť'!$Y$17</f>
        <v>0</v>
      </c>
      <c r="L158" s="259">
        <f>SUM(M158:O158)</f>
        <v>269490</v>
      </c>
      <c r="M158" s="257">
        <f>'[3]13. Sociálna starostlivosť'!$Z$17</f>
        <v>258490</v>
      </c>
      <c r="N158" s="257">
        <f>'[3]13. Sociálna starostlivosť'!$AA$17</f>
        <v>11000</v>
      </c>
      <c r="O158" s="355">
        <f>'[3]13. Sociálna starostlivosť'!$AB$17</f>
        <v>0</v>
      </c>
      <c r="P158" s="677">
        <f>SUM(Q158:S158)</f>
        <v>258490</v>
      </c>
      <c r="Q158" s="678">
        <f>'[3]13. Sociálna starostlivosť'!$AC$17</f>
        <v>258490</v>
      </c>
      <c r="R158" s="678">
        <f>'[3]13. Sociálna starostlivosť'!$AD$17</f>
        <v>0</v>
      </c>
      <c r="S158" s="679">
        <f>'[3]13. Sociálna starostlivosť'!$AE$17</f>
        <v>0</v>
      </c>
    </row>
    <row r="159" spans="1:19" ht="15.75" x14ac:dyDescent="0.25">
      <c r="A159" s="125"/>
      <c r="B159" s="273">
        <v>2</v>
      </c>
      <c r="C159" s="274" t="s">
        <v>350</v>
      </c>
      <c r="D159" s="259">
        <f>SUM(E159:G159)</f>
        <v>56000</v>
      </c>
      <c r="E159" s="257">
        <f>'[1]13. Sociálna starostlivosť'!$W$21</f>
        <v>56000</v>
      </c>
      <c r="F159" s="257">
        <f>'[1]13. Sociálna starostlivosť'!$X$21</f>
        <v>0</v>
      </c>
      <c r="G159" s="270">
        <f>'[1]13. Sociálna starostlivosť'!$Y$21</f>
        <v>0</v>
      </c>
      <c r="H159" s="259">
        <f>SUM(I159:K159)</f>
        <v>58300</v>
      </c>
      <c r="I159" s="257">
        <f>'[2]13. Sociálna starostlivosť'!$W$21</f>
        <v>58300</v>
      </c>
      <c r="J159" s="257">
        <f>'[2]13. Sociálna starostlivosť'!$X$21</f>
        <v>0</v>
      </c>
      <c r="K159" s="258">
        <f>'[2]13. Sociálna starostlivosť'!$Y$21</f>
        <v>0</v>
      </c>
      <c r="L159" s="259">
        <f>SUM(M159:O159)</f>
        <v>72150</v>
      </c>
      <c r="M159" s="257">
        <f>'[3]13. Sociálna starostlivosť'!$Z$21</f>
        <v>72150</v>
      </c>
      <c r="N159" s="257">
        <f>'[3]13. Sociálna starostlivosť'!$AA$21</f>
        <v>0</v>
      </c>
      <c r="O159" s="355">
        <f>'[3]13. Sociálna starostlivosť'!$AB$21</f>
        <v>0</v>
      </c>
      <c r="P159" s="677">
        <f>SUM(Q159:S159)</f>
        <v>72150</v>
      </c>
      <c r="Q159" s="678">
        <f>'[3]13. Sociálna starostlivosť'!$AC$21</f>
        <v>72150</v>
      </c>
      <c r="R159" s="678">
        <f>'[3]13. Sociálna starostlivosť'!$AD$21</f>
        <v>0</v>
      </c>
      <c r="S159" s="679">
        <f>'[3]13. Sociálna starostlivosť'!$AE$21</f>
        <v>0</v>
      </c>
    </row>
    <row r="160" spans="1:19" ht="15.75" x14ac:dyDescent="0.25">
      <c r="A160" s="125"/>
      <c r="B160" s="273">
        <v>3</v>
      </c>
      <c r="C160" s="274" t="s">
        <v>351</v>
      </c>
      <c r="D160" s="259">
        <f>SUM(E160:G160)</f>
        <v>0</v>
      </c>
      <c r="E160" s="257">
        <f>'[1]13. Sociálna starostlivosť'!$W$24</f>
        <v>0</v>
      </c>
      <c r="F160" s="257">
        <f>'[1]13. Sociálna starostlivosť'!$X$24</f>
        <v>0</v>
      </c>
      <c r="G160" s="270">
        <f>'[1]13. Sociálna starostlivosť'!$Y$24</f>
        <v>0</v>
      </c>
      <c r="H160" s="259">
        <f>SUM(I160:K160)</f>
        <v>0</v>
      </c>
      <c r="I160" s="257">
        <f>'[2]13. Sociálna starostlivosť'!$W$24</f>
        <v>0</v>
      </c>
      <c r="J160" s="257">
        <f>'[2]13. Sociálna starostlivosť'!$X$24</f>
        <v>0</v>
      </c>
      <c r="K160" s="258">
        <f>'[2]13. Sociálna starostlivosť'!$Y$24</f>
        <v>0</v>
      </c>
      <c r="L160" s="259">
        <f>SUM(M160:O160)</f>
        <v>0</v>
      </c>
      <c r="M160" s="257">
        <f>'[3]13. Sociálna starostlivosť'!$Z$24</f>
        <v>0</v>
      </c>
      <c r="N160" s="257">
        <f>'[3]13. Sociálna starostlivosť'!$AA$24</f>
        <v>0</v>
      </c>
      <c r="O160" s="355">
        <f>'[3]13. Sociálna starostlivosť'!$AB$24</f>
        <v>0</v>
      </c>
      <c r="P160" s="677">
        <f>SUM(Q160:S160)</f>
        <v>0</v>
      </c>
      <c r="Q160" s="678">
        <f>'[3]13. Sociálna starostlivosť'!$AC$24</f>
        <v>0</v>
      </c>
      <c r="R160" s="678">
        <f>'[3]13. Sociálna starostlivosť'!$AD$24</f>
        <v>0</v>
      </c>
      <c r="S160" s="679">
        <f>'[3]13. Sociálna starostlivosť'!$AE$24</f>
        <v>0</v>
      </c>
    </row>
    <row r="161" spans="1:19" ht="15.75" x14ac:dyDescent="0.25">
      <c r="A161" s="125"/>
      <c r="B161" s="273">
        <v>4</v>
      </c>
      <c r="C161" s="274" t="s">
        <v>352</v>
      </c>
      <c r="D161" s="259">
        <f>SUM(E161:G161)</f>
        <v>63515.03</v>
      </c>
      <c r="E161" s="257">
        <f>'[1]13. Sociálna starostlivosť'!$W$26</f>
        <v>63515.03</v>
      </c>
      <c r="F161" s="257">
        <f>'[1]13. Sociálna starostlivosť'!$X$26</f>
        <v>0</v>
      </c>
      <c r="G161" s="270">
        <f>'[1]13. Sociálna starostlivosť'!$Y$26</f>
        <v>0</v>
      </c>
      <c r="H161" s="259">
        <f>SUM(I161:K161)</f>
        <v>82144.39</v>
      </c>
      <c r="I161" s="257">
        <f>'[2]13. Sociálna starostlivosť'!$W$26</f>
        <v>82144.39</v>
      </c>
      <c r="J161" s="257">
        <f>'[2]13. Sociálna starostlivosť'!$X$26</f>
        <v>0</v>
      </c>
      <c r="K161" s="258">
        <f>'[2]13. Sociálna starostlivosť'!$Y$26</f>
        <v>0</v>
      </c>
      <c r="L161" s="259">
        <f>SUM(M161:O161)</f>
        <v>99190</v>
      </c>
      <c r="M161" s="257">
        <f>'[3]13. Sociálna starostlivosť'!$Z$26</f>
        <v>99190</v>
      </c>
      <c r="N161" s="257">
        <f>'[3]13. Sociálna starostlivosť'!$AA$26</f>
        <v>0</v>
      </c>
      <c r="O161" s="355">
        <f>'[3]13. Sociálna starostlivosť'!$AB$26</f>
        <v>0</v>
      </c>
      <c r="P161" s="677">
        <f>SUM(Q161:S161)</f>
        <v>96748.27</v>
      </c>
      <c r="Q161" s="678">
        <f>'[3]13. Sociálna starostlivosť'!$AC$26</f>
        <v>96748.27</v>
      </c>
      <c r="R161" s="678">
        <f>'[3]13. Sociálna starostlivosť'!$AD$26</f>
        <v>0</v>
      </c>
      <c r="S161" s="679">
        <f>'[3]13. Sociálna starostlivosť'!$AE$26</f>
        <v>0</v>
      </c>
    </row>
    <row r="162" spans="1:19" ht="15.75" x14ac:dyDescent="0.25">
      <c r="A162" s="122"/>
      <c r="B162" s="285" t="s">
        <v>353</v>
      </c>
      <c r="C162" s="274" t="s">
        <v>354</v>
      </c>
      <c r="D162" s="259">
        <f t="shared" ref="D162:G162" si="130">SUM(D163:D166)</f>
        <v>1323420.3399999999</v>
      </c>
      <c r="E162" s="257">
        <f t="shared" si="130"/>
        <v>1306044.3399999999</v>
      </c>
      <c r="F162" s="257">
        <f t="shared" si="130"/>
        <v>17376</v>
      </c>
      <c r="G162" s="270">
        <f t="shared" si="130"/>
        <v>0</v>
      </c>
      <c r="H162" s="259">
        <f t="shared" ref="H162:K162" si="131">SUM(H163:H166)</f>
        <v>1428859.63</v>
      </c>
      <c r="I162" s="257">
        <f t="shared" si="131"/>
        <v>1428859.63</v>
      </c>
      <c r="J162" s="257">
        <f t="shared" si="131"/>
        <v>0</v>
      </c>
      <c r="K162" s="258">
        <f t="shared" si="131"/>
        <v>0</v>
      </c>
      <c r="L162" s="259">
        <f t="shared" ref="L162:S162" si="132">SUM(L163:L166)</f>
        <v>1717465</v>
      </c>
      <c r="M162" s="257">
        <f t="shared" si="132"/>
        <v>1707465</v>
      </c>
      <c r="N162" s="257">
        <f t="shared" si="132"/>
        <v>10000</v>
      </c>
      <c r="O162" s="355">
        <f t="shared" si="132"/>
        <v>0</v>
      </c>
      <c r="P162" s="677">
        <f t="shared" si="132"/>
        <v>1635011.0500000003</v>
      </c>
      <c r="Q162" s="678">
        <f t="shared" si="132"/>
        <v>1625031.0500000003</v>
      </c>
      <c r="R162" s="678">
        <f t="shared" si="132"/>
        <v>9980</v>
      </c>
      <c r="S162" s="679">
        <f t="shared" si="132"/>
        <v>0</v>
      </c>
    </row>
    <row r="163" spans="1:19" ht="15.75" x14ac:dyDescent="0.25">
      <c r="B163" s="273">
        <v>1</v>
      </c>
      <c r="C163" s="274" t="s">
        <v>355</v>
      </c>
      <c r="D163" s="259">
        <f>SUM(E163:G163)</f>
        <v>41780</v>
      </c>
      <c r="E163" s="257">
        <f>'[1]13. Sociálna starostlivosť'!$W$30</f>
        <v>38204</v>
      </c>
      <c r="F163" s="257">
        <f>'[1]13. Sociálna starostlivosť'!$X$30</f>
        <v>3576</v>
      </c>
      <c r="G163" s="270">
        <f>'[1]13. Sociálna starostlivosť'!$Y$30</f>
        <v>0</v>
      </c>
      <c r="H163" s="259">
        <f>SUM(I163:K163)</f>
        <v>54310</v>
      </c>
      <c r="I163" s="257">
        <f>'[2]13. Sociálna starostlivosť'!$W$30</f>
        <v>54310</v>
      </c>
      <c r="J163" s="257">
        <f>'[2]13. Sociálna starostlivosť'!$X$30</f>
        <v>0</v>
      </c>
      <c r="K163" s="258">
        <f>'[2]13. Sociálna starostlivosť'!$Y$30</f>
        <v>0</v>
      </c>
      <c r="L163" s="259">
        <f>SUM(M163:O163)</f>
        <v>47260</v>
      </c>
      <c r="M163" s="257">
        <f>'[3]13. Sociálna starostlivosť'!$Z$30</f>
        <v>47260</v>
      </c>
      <c r="N163" s="257">
        <f>'[3]13. Sociálna starostlivosť'!$AA$30</f>
        <v>0</v>
      </c>
      <c r="O163" s="355">
        <f>'[3]13. Sociálna starostlivosť'!$AB$30</f>
        <v>0</v>
      </c>
      <c r="P163" s="677">
        <f>SUM(Q163:S163)</f>
        <v>47260</v>
      </c>
      <c r="Q163" s="678">
        <f>'[3]13. Sociálna starostlivosť'!$AC$30</f>
        <v>47260</v>
      </c>
      <c r="R163" s="678">
        <f>'[3]13. Sociálna starostlivosť'!$AD$30</f>
        <v>0</v>
      </c>
      <c r="S163" s="679">
        <f>'[3]13. Sociálna starostlivosť'!$AE$30</f>
        <v>0</v>
      </c>
    </row>
    <row r="164" spans="1:19" ht="15.75" x14ac:dyDescent="0.25">
      <c r="B164" s="273">
        <v>2</v>
      </c>
      <c r="C164" s="274" t="s">
        <v>356</v>
      </c>
      <c r="D164" s="259">
        <f>SUM(E164:G164)</f>
        <v>0</v>
      </c>
      <c r="E164" s="257">
        <f>'[1]13. Sociálna starostlivosť'!$W$33</f>
        <v>0</v>
      </c>
      <c r="F164" s="257">
        <f>'[1]13. Sociálna starostlivosť'!$X$33</f>
        <v>0</v>
      </c>
      <c r="G164" s="270">
        <f>'[1]13. Sociálna starostlivosť'!$Y$33</f>
        <v>0</v>
      </c>
      <c r="H164" s="259">
        <f>SUM(I164:K164)</f>
        <v>0</v>
      </c>
      <c r="I164" s="257">
        <f>'[2]13. Sociálna starostlivosť'!$W$33</f>
        <v>0</v>
      </c>
      <c r="J164" s="257">
        <f>'[2]13. Sociálna starostlivosť'!$X$33</f>
        <v>0</v>
      </c>
      <c r="K164" s="258">
        <f>'[2]13. Sociálna starostlivosť'!$Y$33</f>
        <v>0</v>
      </c>
      <c r="L164" s="259">
        <f>SUM(M164:O164)</f>
        <v>0</v>
      </c>
      <c r="M164" s="257">
        <f>'[3]13. Sociálna starostlivosť'!$Z$33</f>
        <v>0</v>
      </c>
      <c r="N164" s="257">
        <f>'[3]13. Sociálna starostlivosť'!$AA$33</f>
        <v>0</v>
      </c>
      <c r="O164" s="355">
        <f>'[3]13. Sociálna starostlivosť'!$AB$33</f>
        <v>0</v>
      </c>
      <c r="P164" s="677">
        <f>SUM(Q164:S164)</f>
        <v>0</v>
      </c>
      <c r="Q164" s="678">
        <f>'[3]13. Sociálna starostlivosť'!$AC$33</f>
        <v>0</v>
      </c>
      <c r="R164" s="678">
        <f>'[3]13. Sociálna starostlivosť'!$AD$33</f>
        <v>0</v>
      </c>
      <c r="S164" s="679">
        <f>'[3]13. Sociálna starostlivosť'!$AE$33</f>
        <v>0</v>
      </c>
    </row>
    <row r="165" spans="1:19" ht="15.75" x14ac:dyDescent="0.25">
      <c r="A165" s="125"/>
      <c r="B165" s="273">
        <v>3</v>
      </c>
      <c r="C165" s="274" t="s">
        <v>446</v>
      </c>
      <c r="D165" s="259">
        <f>SUM(E165:G165)</f>
        <v>1086704.3399999999</v>
      </c>
      <c r="E165" s="257">
        <f>'[1]13. Sociálna starostlivosť'!$W$35</f>
        <v>1072904.3399999999</v>
      </c>
      <c r="F165" s="257">
        <f>'[1]13. Sociálna starostlivosť'!$X$35</f>
        <v>13800</v>
      </c>
      <c r="G165" s="270">
        <f>'[1]13. Sociálna starostlivosť'!$Y$35</f>
        <v>0</v>
      </c>
      <c r="H165" s="259">
        <f>SUM(I165:K165)</f>
        <v>1145685.6299999999</v>
      </c>
      <c r="I165" s="257">
        <f>'[2]13. Sociálna starostlivosť'!$W$35</f>
        <v>1145685.6299999999</v>
      </c>
      <c r="J165" s="257">
        <f>'[2]13. Sociálna starostlivosť'!$X$35</f>
        <v>0</v>
      </c>
      <c r="K165" s="258">
        <f>'[2]13. Sociálna starostlivosť'!$Y$35</f>
        <v>0</v>
      </c>
      <c r="L165" s="259">
        <f>SUM(M165:O165)</f>
        <v>1427045</v>
      </c>
      <c r="M165" s="257">
        <f>'[3]13. Sociálna starostlivosť'!$Z$35</f>
        <v>1417045</v>
      </c>
      <c r="N165" s="257">
        <f>'[3]13. Sociálna starostlivosť'!$AA$35</f>
        <v>10000</v>
      </c>
      <c r="O165" s="355">
        <f>'[3]13. Sociálna starostlivosť'!$AB$35</f>
        <v>0</v>
      </c>
      <c r="P165" s="677">
        <f>SUM(Q165:S165)</f>
        <v>1344594.9100000001</v>
      </c>
      <c r="Q165" s="678">
        <f>'[3]13. Sociálna starostlivosť'!$AC$35</f>
        <v>1334614.9100000001</v>
      </c>
      <c r="R165" s="678">
        <f>'[3]13. Sociálna starostlivosť'!$AD$35</f>
        <v>9980</v>
      </c>
      <c r="S165" s="679">
        <f>'[3]13. Sociálna starostlivosť'!$AE$35</f>
        <v>0</v>
      </c>
    </row>
    <row r="166" spans="1:19" ht="15.75" x14ac:dyDescent="0.25">
      <c r="A166" s="125"/>
      <c r="B166" s="273">
        <v>4</v>
      </c>
      <c r="C166" s="274" t="s">
        <v>447</v>
      </c>
      <c r="D166" s="259">
        <f>SUM(E166:G166)</f>
        <v>194936</v>
      </c>
      <c r="E166" s="257">
        <f>'[1]13. Sociálna starostlivosť'!$W$50</f>
        <v>194936</v>
      </c>
      <c r="F166" s="257">
        <f>'[1]13. Sociálna starostlivosť'!$X$50</f>
        <v>0</v>
      </c>
      <c r="G166" s="270">
        <f>'[1]13. Sociálna starostlivosť'!$Y$50</f>
        <v>0</v>
      </c>
      <c r="H166" s="259">
        <f>SUM(I166:K166)</f>
        <v>228864</v>
      </c>
      <c r="I166" s="257">
        <f>'[2]13. Sociálna starostlivosť'!$W$50</f>
        <v>228864</v>
      </c>
      <c r="J166" s="257">
        <f>'[2]13. Sociálna starostlivosť'!$X$50</f>
        <v>0</v>
      </c>
      <c r="K166" s="258">
        <f>'[2]13. Sociálna starostlivosť'!$Y$50</f>
        <v>0</v>
      </c>
      <c r="L166" s="259">
        <f>SUM(M166:O166)</f>
        <v>243160</v>
      </c>
      <c r="M166" s="257">
        <f>'[3]13. Sociálna starostlivosť'!$Z$50</f>
        <v>243160</v>
      </c>
      <c r="N166" s="257">
        <f>'[3]13. Sociálna starostlivosť'!$AA$50</f>
        <v>0</v>
      </c>
      <c r="O166" s="355">
        <f>'[3]13. Sociálna starostlivosť'!$AB$50</f>
        <v>0</v>
      </c>
      <c r="P166" s="677">
        <f>SUM(Q166:S166)</f>
        <v>243156.14</v>
      </c>
      <c r="Q166" s="678">
        <f>'[3]13. Sociálna starostlivosť'!$AC$50</f>
        <v>243156.14</v>
      </c>
      <c r="R166" s="678">
        <f>'[3]13. Sociálna starostlivosť'!$AD$50</f>
        <v>0</v>
      </c>
      <c r="S166" s="679">
        <f>'[3]13. Sociálna starostlivosť'!$AE$50</f>
        <v>0</v>
      </c>
    </row>
    <row r="167" spans="1:19" ht="15.75" x14ac:dyDescent="0.25">
      <c r="B167" s="285" t="s">
        <v>358</v>
      </c>
      <c r="C167" s="274" t="s">
        <v>359</v>
      </c>
      <c r="D167" s="259">
        <f t="shared" ref="D167:G167" si="133">SUM(D168:D170)</f>
        <v>128211.33000000002</v>
      </c>
      <c r="E167" s="257">
        <f t="shared" si="133"/>
        <v>107053.59</v>
      </c>
      <c r="F167" s="257">
        <f t="shared" si="133"/>
        <v>21157.74</v>
      </c>
      <c r="G167" s="270">
        <f t="shared" si="133"/>
        <v>0</v>
      </c>
      <c r="H167" s="259">
        <f t="shared" ref="H167:K167" si="134">SUM(H168:H170)</f>
        <v>124135</v>
      </c>
      <c r="I167" s="257">
        <f t="shared" si="134"/>
        <v>124135</v>
      </c>
      <c r="J167" s="257">
        <f t="shared" si="134"/>
        <v>0</v>
      </c>
      <c r="K167" s="258">
        <f t="shared" si="134"/>
        <v>0</v>
      </c>
      <c r="L167" s="259">
        <f t="shared" ref="L167:S167" si="135">SUM(L168:L170)</f>
        <v>129260</v>
      </c>
      <c r="M167" s="257">
        <f t="shared" si="135"/>
        <v>112620</v>
      </c>
      <c r="N167" s="257">
        <f t="shared" si="135"/>
        <v>16640</v>
      </c>
      <c r="O167" s="355">
        <f t="shared" si="135"/>
        <v>0</v>
      </c>
      <c r="P167" s="677">
        <f t="shared" si="135"/>
        <v>129255.63</v>
      </c>
      <c r="Q167" s="678">
        <f t="shared" si="135"/>
        <v>112616.48999999999</v>
      </c>
      <c r="R167" s="678">
        <f t="shared" si="135"/>
        <v>16639.14</v>
      </c>
      <c r="S167" s="679">
        <f t="shared" si="135"/>
        <v>0</v>
      </c>
    </row>
    <row r="168" spans="1:19" ht="15.75" x14ac:dyDescent="0.25">
      <c r="B168" s="273">
        <v>1</v>
      </c>
      <c r="C168" s="274" t="s">
        <v>360</v>
      </c>
      <c r="D168" s="259">
        <f>SUM(E168:G168)</f>
        <v>71896.100000000006</v>
      </c>
      <c r="E168" s="257">
        <f>'[1]13. Sociálna starostlivosť'!$W$55</f>
        <v>50738.36</v>
      </c>
      <c r="F168" s="257">
        <f>'[1]13. Sociálna starostlivosť'!$X$55</f>
        <v>21157.74</v>
      </c>
      <c r="G168" s="270">
        <f>'[1]13. Sociálna starostlivosť'!$Y$55</f>
        <v>0</v>
      </c>
      <c r="H168" s="259">
        <f>SUM(I168:K168)</f>
        <v>54770</v>
      </c>
      <c r="I168" s="257">
        <f>'[2]13. Sociálna starostlivosť'!$W$55</f>
        <v>54770</v>
      </c>
      <c r="J168" s="257">
        <f>'[2]13. Sociálna starostlivosť'!$X$55</f>
        <v>0</v>
      </c>
      <c r="K168" s="258">
        <f>'[2]13. Sociálna starostlivosť'!$Y$55</f>
        <v>0</v>
      </c>
      <c r="L168" s="259">
        <f>SUM(M168:O168)</f>
        <v>57980</v>
      </c>
      <c r="M168" s="257">
        <f>'[3]13. Sociálna starostlivosť'!$Z$55</f>
        <v>41340</v>
      </c>
      <c r="N168" s="257">
        <f>'[3]13. Sociálna starostlivosť'!$AA$55</f>
        <v>16640</v>
      </c>
      <c r="O168" s="355">
        <f>'[3]13. Sociálna starostlivosť'!$AB$55</f>
        <v>0</v>
      </c>
      <c r="P168" s="677">
        <f>SUM(Q168:S168)</f>
        <v>57974.51</v>
      </c>
      <c r="Q168" s="678">
        <f>'[3]13. Sociálna starostlivosť'!$AC$55</f>
        <v>41335.370000000003</v>
      </c>
      <c r="R168" s="678">
        <f>'[3]13. Sociálna starostlivosť'!$AD$55</f>
        <v>16639.14</v>
      </c>
      <c r="S168" s="679">
        <f>'[3]13. Sociálna starostlivosť'!$AE$55</f>
        <v>0</v>
      </c>
    </row>
    <row r="169" spans="1:19" ht="15.75" x14ac:dyDescent="0.25">
      <c r="B169" s="273">
        <v>2</v>
      </c>
      <c r="C169" s="274" t="s">
        <v>636</v>
      </c>
      <c r="D169" s="259">
        <f>SUM(E169:G169)</f>
        <v>5160</v>
      </c>
      <c r="E169" s="257">
        <f>'[1]13. Sociálna starostlivosť'!$W$59</f>
        <v>5160</v>
      </c>
      <c r="F169" s="257">
        <f>'[1]13. Sociálna starostlivosť'!$X$59</f>
        <v>0</v>
      </c>
      <c r="G169" s="270">
        <f>'[1]13. Sociálna starostlivosť'!$Y$59</f>
        <v>0</v>
      </c>
      <c r="H169" s="259">
        <f>SUM(I169:K169)</f>
        <v>11180</v>
      </c>
      <c r="I169" s="257">
        <f>'[2]13. Sociálna starostlivosť'!$W$59</f>
        <v>11180</v>
      </c>
      <c r="J169" s="257">
        <f>'[2]13. Sociálna starostlivosť'!$X$59</f>
        <v>0</v>
      </c>
      <c r="K169" s="258">
        <f>'[2]13. Sociálna starostlivosť'!$Y$59</f>
        <v>0</v>
      </c>
      <c r="L169" s="259">
        <f>SUM(M169:O169)</f>
        <v>0</v>
      </c>
      <c r="M169" s="257">
        <f>'[3]13. Sociálna starostlivosť'!$Z$59</f>
        <v>0</v>
      </c>
      <c r="N169" s="257">
        <f>'[3]13. Sociálna starostlivosť'!$AA$59</f>
        <v>0</v>
      </c>
      <c r="O169" s="355">
        <f>'[3]13. Sociálna starostlivosť'!$AB$59</f>
        <v>0</v>
      </c>
      <c r="P169" s="677">
        <f>SUM(Q169:S169)</f>
        <v>0</v>
      </c>
      <c r="Q169" s="678">
        <f>'[3]13. Sociálna starostlivosť'!$AC$59</f>
        <v>0</v>
      </c>
      <c r="R169" s="678">
        <f>'[3]13. Sociálna starostlivosť'!$AD$59</f>
        <v>0</v>
      </c>
      <c r="S169" s="679">
        <f>'[3]13. Sociálna starostlivosť'!$AE$59</f>
        <v>0</v>
      </c>
    </row>
    <row r="170" spans="1:19" ht="15.75" x14ac:dyDescent="0.25">
      <c r="B170" s="273">
        <v>3</v>
      </c>
      <c r="C170" s="274" t="s">
        <v>362</v>
      </c>
      <c r="D170" s="259">
        <f>SUM(E170:G170)</f>
        <v>51155.23</v>
      </c>
      <c r="E170" s="257">
        <f>'[1]13. Sociálna starostlivosť'!$W$62</f>
        <v>51155.23</v>
      </c>
      <c r="F170" s="257">
        <f>'[1]13. Sociálna starostlivosť'!$X$62</f>
        <v>0</v>
      </c>
      <c r="G170" s="270">
        <f>'[1]13. Sociálna starostlivosť'!$Y$62</f>
        <v>0</v>
      </c>
      <c r="H170" s="259">
        <f>SUM(I170:K170)</f>
        <v>58185</v>
      </c>
      <c r="I170" s="257">
        <f>'[2]13. Sociálna starostlivosť'!$W$62</f>
        <v>58185</v>
      </c>
      <c r="J170" s="257">
        <f>'[2]13. Sociálna starostlivosť'!$X$62</f>
        <v>0</v>
      </c>
      <c r="K170" s="258">
        <f>'[2]13. Sociálna starostlivosť'!$Y$62</f>
        <v>0</v>
      </c>
      <c r="L170" s="259">
        <f>SUM(M170:O170)</f>
        <v>71280</v>
      </c>
      <c r="M170" s="257">
        <f>'[3]13. Sociálna starostlivosť'!$Z$62</f>
        <v>71280</v>
      </c>
      <c r="N170" s="257">
        <f>'[3]13. Sociálna starostlivosť'!$AA$62</f>
        <v>0</v>
      </c>
      <c r="O170" s="355">
        <f>'[3]13. Sociálna starostlivosť'!$AB$62</f>
        <v>0</v>
      </c>
      <c r="P170" s="677">
        <f>SUM(Q170:S170)</f>
        <v>71281.119999999995</v>
      </c>
      <c r="Q170" s="678">
        <f>'[3]13. Sociálna starostlivosť'!$AC$62</f>
        <v>71281.119999999995</v>
      </c>
      <c r="R170" s="678">
        <f>'[3]13. Sociálna starostlivosť'!$AD$62</f>
        <v>0</v>
      </c>
      <c r="S170" s="679">
        <f>'[3]13. Sociálna starostlivosť'!$AE$62</f>
        <v>0</v>
      </c>
    </row>
    <row r="171" spans="1:19" ht="15.75" x14ac:dyDescent="0.25">
      <c r="B171" s="285" t="s">
        <v>363</v>
      </c>
      <c r="C171" s="274" t="s">
        <v>364</v>
      </c>
      <c r="D171" s="259">
        <f>SUM(E171:G171)</f>
        <v>5230</v>
      </c>
      <c r="E171" s="257">
        <f>'[1]13. Sociálna starostlivosť'!$W$65</f>
        <v>5230</v>
      </c>
      <c r="F171" s="257">
        <f>'[1]13. Sociálna starostlivosť'!$X$65</f>
        <v>0</v>
      </c>
      <c r="G171" s="270">
        <f>'[1]13. Sociálna starostlivosť'!$Y$65</f>
        <v>0</v>
      </c>
      <c r="H171" s="259">
        <f>SUM(I171:K171)</f>
        <v>5720</v>
      </c>
      <c r="I171" s="257">
        <f>'[2]13. Sociálna starostlivosť'!$W$65</f>
        <v>5720</v>
      </c>
      <c r="J171" s="257">
        <f>'[2]13. Sociálna starostlivosť'!$X$65</f>
        <v>0</v>
      </c>
      <c r="K171" s="258">
        <f>'[2]13. Sociálna starostlivosť'!$Y$65</f>
        <v>0</v>
      </c>
      <c r="L171" s="259">
        <f>SUM(M171:O171)</f>
        <v>6760</v>
      </c>
      <c r="M171" s="257">
        <f>'[3]13. Sociálna starostlivosť'!$Z$65</f>
        <v>6760</v>
      </c>
      <c r="N171" s="257">
        <f>'[3]13. Sociálna starostlivosť'!$AA$65</f>
        <v>0</v>
      </c>
      <c r="O171" s="355">
        <f>'[3]13. Sociálna starostlivosť'!$AB$65</f>
        <v>0</v>
      </c>
      <c r="P171" s="677">
        <f>SUM(Q171:S171)</f>
        <v>6760</v>
      </c>
      <c r="Q171" s="678">
        <f>'[3]13. Sociálna starostlivosť'!$AC$65</f>
        <v>6760</v>
      </c>
      <c r="R171" s="678">
        <f>'[3]13. Sociálna starostlivosť'!$AD$65</f>
        <v>0</v>
      </c>
      <c r="S171" s="679">
        <f>'[3]13. Sociálna starostlivosť'!$AE$65</f>
        <v>0</v>
      </c>
    </row>
    <row r="172" spans="1:19" ht="15.75" x14ac:dyDescent="0.25">
      <c r="A172" s="124"/>
      <c r="B172" s="285" t="s">
        <v>365</v>
      </c>
      <c r="C172" s="274" t="s">
        <v>366</v>
      </c>
      <c r="D172" s="259">
        <f>SUM(E172:G172)</f>
        <v>937.47</v>
      </c>
      <c r="E172" s="257">
        <f>'[1]13. Sociálna starostlivosť'!$W$67</f>
        <v>937.47</v>
      </c>
      <c r="F172" s="257">
        <f>'[1]13. Sociálna starostlivosť'!$X$67</f>
        <v>0</v>
      </c>
      <c r="G172" s="270">
        <f>'[1]13. Sociálna starostlivosť'!$Y$67</f>
        <v>0</v>
      </c>
      <c r="H172" s="259">
        <f>SUM(I172:K172)</f>
        <v>938.66</v>
      </c>
      <c r="I172" s="257">
        <f>'[2]13. Sociálna starostlivosť'!$W$67</f>
        <v>938.66</v>
      </c>
      <c r="J172" s="257">
        <f>'[2]13. Sociálna starostlivosť'!$X$67</f>
        <v>0</v>
      </c>
      <c r="K172" s="258">
        <f>'[2]13. Sociálna starostlivosť'!$Y$67</f>
        <v>0</v>
      </c>
      <c r="L172" s="259">
        <f>SUM(M172:O172)</f>
        <v>1005</v>
      </c>
      <c r="M172" s="257">
        <f>'[3]13. Sociálna starostlivosť'!$Z$67</f>
        <v>1005</v>
      </c>
      <c r="N172" s="257">
        <f>'[3]13. Sociálna starostlivosť'!$AA$67</f>
        <v>0</v>
      </c>
      <c r="O172" s="355">
        <f>'[3]13. Sociálna starostlivosť'!$AB$67</f>
        <v>0</v>
      </c>
      <c r="P172" s="677">
        <f>SUM(Q172:S172)</f>
        <v>1002.4</v>
      </c>
      <c r="Q172" s="678">
        <f>'[3]13. Sociálna starostlivosť'!$AC$67</f>
        <v>1002.4</v>
      </c>
      <c r="R172" s="678">
        <f>'[3]13. Sociálna starostlivosť'!$AD$67</f>
        <v>0</v>
      </c>
      <c r="S172" s="679">
        <f>'[3]13. Sociálna starostlivosť'!$AE$67</f>
        <v>0</v>
      </c>
    </row>
    <row r="173" spans="1:19" ht="15.75" x14ac:dyDescent="0.25">
      <c r="B173" s="296" t="s">
        <v>367</v>
      </c>
      <c r="C173" s="290" t="s">
        <v>368</v>
      </c>
      <c r="D173" s="259">
        <f t="shared" ref="D173:G173" si="136">SUM(D174)</f>
        <v>33271.42</v>
      </c>
      <c r="E173" s="257">
        <f t="shared" si="136"/>
        <v>33271.42</v>
      </c>
      <c r="F173" s="257">
        <f t="shared" si="136"/>
        <v>0</v>
      </c>
      <c r="G173" s="270">
        <f t="shared" si="136"/>
        <v>0</v>
      </c>
      <c r="H173" s="259">
        <f t="shared" ref="H173:S173" si="137">SUM(H174)</f>
        <v>30191.899999999998</v>
      </c>
      <c r="I173" s="257">
        <f t="shared" si="137"/>
        <v>30191.899999999998</v>
      </c>
      <c r="J173" s="257">
        <f t="shared" si="137"/>
        <v>0</v>
      </c>
      <c r="K173" s="258">
        <f t="shared" si="137"/>
        <v>0</v>
      </c>
      <c r="L173" s="259">
        <f t="shared" si="137"/>
        <v>45500</v>
      </c>
      <c r="M173" s="257">
        <f t="shared" si="137"/>
        <v>45500</v>
      </c>
      <c r="N173" s="257">
        <f t="shared" si="137"/>
        <v>0</v>
      </c>
      <c r="O173" s="355">
        <f t="shared" si="137"/>
        <v>0</v>
      </c>
      <c r="P173" s="677">
        <f t="shared" si="137"/>
        <v>38666.35</v>
      </c>
      <c r="Q173" s="678">
        <f t="shared" si="137"/>
        <v>38666.35</v>
      </c>
      <c r="R173" s="678">
        <f t="shared" si="137"/>
        <v>0</v>
      </c>
      <c r="S173" s="679">
        <f t="shared" si="137"/>
        <v>0</v>
      </c>
    </row>
    <row r="174" spans="1:19" ht="15.75" x14ac:dyDescent="0.25">
      <c r="B174" s="297">
        <v>1</v>
      </c>
      <c r="C174" s="298" t="s">
        <v>369</v>
      </c>
      <c r="D174" s="259">
        <f>SUM(E174:G174)</f>
        <v>33271.42</v>
      </c>
      <c r="E174" s="257">
        <f>'[1]13. Sociálna starostlivosť'!$W$79</f>
        <v>33271.42</v>
      </c>
      <c r="F174" s="257">
        <f>'[1]13. Sociálna starostlivosť'!$X$79</f>
        <v>0</v>
      </c>
      <c r="G174" s="270">
        <f>'[1]13. Sociálna starostlivosť'!$Y$79</f>
        <v>0</v>
      </c>
      <c r="H174" s="259">
        <f>SUM(I174:K174)</f>
        <v>30191.899999999998</v>
      </c>
      <c r="I174" s="257">
        <f>'[2]13. Sociálna starostlivosť'!$W$79</f>
        <v>30191.899999999998</v>
      </c>
      <c r="J174" s="257">
        <f>'[2]13. Sociálna starostlivosť'!$X$79</f>
        <v>0</v>
      </c>
      <c r="K174" s="258">
        <f>'[2]13. Sociálna starostlivosť'!$Y$79</f>
        <v>0</v>
      </c>
      <c r="L174" s="259">
        <f>SUM(M174:O174)</f>
        <v>45500</v>
      </c>
      <c r="M174" s="257">
        <f>'[3]13. Sociálna starostlivosť'!$Z$79</f>
        <v>45500</v>
      </c>
      <c r="N174" s="257">
        <f>'[3]13. Sociálna starostlivosť'!$AA$79</f>
        <v>0</v>
      </c>
      <c r="O174" s="355">
        <f>'[3]13. Sociálna starostlivosť'!$AB$79</f>
        <v>0</v>
      </c>
      <c r="P174" s="677">
        <f>SUM(Q174:S174)</f>
        <v>38666.35</v>
      </c>
      <c r="Q174" s="678">
        <f>'[3]13. Sociálna starostlivosť'!$AC$79</f>
        <v>38666.35</v>
      </c>
      <c r="R174" s="678">
        <f>'[3]13. Sociálna starostlivosť'!$AD$79</f>
        <v>0</v>
      </c>
      <c r="S174" s="679">
        <f>'[3]13. Sociálna starostlivosť'!$AE$79</f>
        <v>0</v>
      </c>
    </row>
    <row r="175" spans="1:19" ht="15.75" x14ac:dyDescent="0.25">
      <c r="A175" s="124"/>
      <c r="B175" s="299" t="s">
        <v>370</v>
      </c>
      <c r="C175" s="298" t="s">
        <v>371</v>
      </c>
      <c r="D175" s="259">
        <f>SUM(E175:G175)</f>
        <v>2500</v>
      </c>
      <c r="E175" s="257">
        <f>'[1]13. Sociálna starostlivosť'!$W$104</f>
        <v>2500</v>
      </c>
      <c r="F175" s="257">
        <f>'[1]13. Sociálna starostlivosť'!$X$104</f>
        <v>0</v>
      </c>
      <c r="G175" s="270">
        <f>'[1]13. Sociálna starostlivosť'!$Y$104</f>
        <v>0</v>
      </c>
      <c r="H175" s="259">
        <f>SUM(I175:K175)</f>
        <v>4500</v>
      </c>
      <c r="I175" s="257">
        <f>'[2]13. Sociálna starostlivosť'!$W$104</f>
        <v>4500</v>
      </c>
      <c r="J175" s="257">
        <f>'[2]13. Sociálna starostlivosť'!$X$104</f>
        <v>0</v>
      </c>
      <c r="K175" s="258">
        <f>'[2]13. Sociálna starostlivosť'!$Y$104</f>
        <v>0</v>
      </c>
      <c r="L175" s="259">
        <f>SUM(M175:O175)</f>
        <v>28000</v>
      </c>
      <c r="M175" s="257">
        <f>'[3]13. Sociálna starostlivosť'!$Z$104</f>
        <v>28000</v>
      </c>
      <c r="N175" s="257">
        <f>'[3]13. Sociálna starostlivosť'!$AA$104</f>
        <v>0</v>
      </c>
      <c r="O175" s="355">
        <f>'[3]13. Sociálna starostlivosť'!$AB$104</f>
        <v>0</v>
      </c>
      <c r="P175" s="677">
        <f>SUM(Q175:S175)</f>
        <v>15651.7</v>
      </c>
      <c r="Q175" s="678">
        <f>'[3]13. Sociálna starostlivosť'!$AC$104</f>
        <v>15651.7</v>
      </c>
      <c r="R175" s="678">
        <f>'[3]13. Sociálna starostlivosť'!$AD$104</f>
        <v>0</v>
      </c>
      <c r="S175" s="679">
        <f>'[3]13. Sociálna starostlivosť'!$AE$104</f>
        <v>0</v>
      </c>
    </row>
    <row r="176" spans="1:19" ht="15.75" x14ac:dyDescent="0.25">
      <c r="A176" s="124"/>
      <c r="B176" s="468" t="s">
        <v>625</v>
      </c>
      <c r="C176" s="469" t="s">
        <v>394</v>
      </c>
      <c r="D176" s="259">
        <f>SUM(E176:G176)</f>
        <v>132562.10999999999</v>
      </c>
      <c r="E176" s="257">
        <f>'[1]13. Sociálna starostlivosť'!$W$106</f>
        <v>132562.10999999999</v>
      </c>
      <c r="F176" s="257">
        <f>'[1]13. Sociálna starostlivosť'!$X$106</f>
        <v>0</v>
      </c>
      <c r="G176" s="270">
        <f>'[1]13. Sociálna starostlivosť'!$Y$106</f>
        <v>0</v>
      </c>
      <c r="H176" s="259">
        <f>SUM(I176:K176)</f>
        <v>158133.21</v>
      </c>
      <c r="I176" s="257">
        <f>'[2]13. Sociálna starostlivosť'!$W$106</f>
        <v>158133.21</v>
      </c>
      <c r="J176" s="257">
        <f>'[2]13. Sociálna starostlivosť'!$X$106</f>
        <v>0</v>
      </c>
      <c r="K176" s="258">
        <f>'[2]13. Sociálna starostlivosť'!$Y$106</f>
        <v>0</v>
      </c>
      <c r="L176" s="259">
        <f>SUM(M176:O176)</f>
        <v>150080</v>
      </c>
      <c r="M176" s="257">
        <f>'[3]13. Sociálna starostlivosť'!$Z$106</f>
        <v>150080</v>
      </c>
      <c r="N176" s="257">
        <f>'[3]13. Sociálna starostlivosť'!$AA$106</f>
        <v>0</v>
      </c>
      <c r="O176" s="355">
        <f>'[3]13. Sociálna starostlivosť'!$AB$106</f>
        <v>0</v>
      </c>
      <c r="P176" s="677">
        <f>SUM(Q176:S176)</f>
        <v>150066.79</v>
      </c>
      <c r="Q176" s="678">
        <f>'[3]13. Sociálna starostlivosť'!$AC$106</f>
        <v>150066.79</v>
      </c>
      <c r="R176" s="678">
        <f>'[3]13. Sociálna starostlivosť'!$AD$106</f>
        <v>0</v>
      </c>
      <c r="S176" s="679">
        <f>'[3]13. Sociálna starostlivosť'!$AE$106</f>
        <v>0</v>
      </c>
    </row>
    <row r="177" spans="1:19" ht="16.5" thickBot="1" x14ac:dyDescent="0.3">
      <c r="A177" s="124"/>
      <c r="B177" s="287" t="s">
        <v>624</v>
      </c>
      <c r="C177" s="363" t="s">
        <v>626</v>
      </c>
      <c r="D177" s="392"/>
      <c r="E177" s="466"/>
      <c r="F177" s="466"/>
      <c r="G177" s="467"/>
      <c r="H177" s="259">
        <f>SUM(I177:K177)</f>
        <v>212291.65</v>
      </c>
      <c r="I177" s="257">
        <f>'[2]13. Sociálna starostlivosť'!$W$112</f>
        <v>206205.65</v>
      </c>
      <c r="J177" s="257">
        <f>'[2]13. Sociálna starostlivosť'!$X$112</f>
        <v>0</v>
      </c>
      <c r="K177" s="258">
        <f>'[2]13. Sociálna starostlivosť'!$Y$112</f>
        <v>6086</v>
      </c>
      <c r="L177" s="259">
        <f>SUM(M177:O177)</f>
        <v>637150</v>
      </c>
      <c r="M177" s="257">
        <f>'[3]13. Sociálna starostlivosť'!$Z$112</f>
        <v>630000</v>
      </c>
      <c r="N177" s="257">
        <f>'[3]13. Sociálna starostlivosť'!$AA$112</f>
        <v>0</v>
      </c>
      <c r="O177" s="355">
        <f>'[3]13. Sociálna starostlivosť'!$AB$112</f>
        <v>7150</v>
      </c>
      <c r="P177" s="677">
        <f>SUM(Q177:S177)</f>
        <v>558308.37</v>
      </c>
      <c r="Q177" s="678">
        <f>'[3]13. Sociálna starostlivosť'!$AC$112</f>
        <v>558308.37</v>
      </c>
      <c r="R177" s="678">
        <f>'[3]13. Sociálna starostlivosť'!$AD$112</f>
        <v>0</v>
      </c>
      <c r="S177" s="679">
        <f>'[3]13. Sociálna starostlivosť'!$AE$112</f>
        <v>0</v>
      </c>
    </row>
    <row r="178" spans="1:19" s="123" customFormat="1" ht="17.25" thickBot="1" x14ac:dyDescent="0.35">
      <c r="A178" s="125"/>
      <c r="B178" s="300" t="s">
        <v>372</v>
      </c>
      <c r="C178" s="301"/>
      <c r="D178" s="366">
        <f>SUM(E178:G178)</f>
        <v>731585.97000000009</v>
      </c>
      <c r="E178" s="367">
        <f>'[1]14. Bývanie'!$W$24</f>
        <v>523549.99000000011</v>
      </c>
      <c r="F178" s="367">
        <f>'[1]14. Bývanie'!$X$24</f>
        <v>0</v>
      </c>
      <c r="G178" s="388">
        <f>'[1]14. Bývanie'!$Y$24</f>
        <v>208035.98</v>
      </c>
      <c r="H178" s="461">
        <f>SUM(I178:K178)</f>
        <v>807681.73</v>
      </c>
      <c r="I178" s="462">
        <f>'[2]14. Bývanie'!$W$24</f>
        <v>589949.69000000006</v>
      </c>
      <c r="J178" s="462">
        <f>'[2]14. Bývanie'!$X$24</f>
        <v>0</v>
      </c>
      <c r="K178" s="463">
        <f>'[2]14. Bývanie'!$Y$24</f>
        <v>217732.03999999998</v>
      </c>
      <c r="L178" s="461">
        <f>SUM(M178:O178)</f>
        <v>910990</v>
      </c>
      <c r="M178" s="462">
        <f>'[3]14. Bývanie'!$Z$24</f>
        <v>702040</v>
      </c>
      <c r="N178" s="462">
        <f>'[3]14. Bývanie'!$AA$24</f>
        <v>0</v>
      </c>
      <c r="O178" s="478">
        <f>'[3]14. Bývanie'!$AB$24</f>
        <v>208950</v>
      </c>
      <c r="P178" s="685">
        <f>SUM(Q178:S178)</f>
        <v>817380.17999999993</v>
      </c>
      <c r="Q178" s="686">
        <f>'[3]14. Bývanie'!$AC$24</f>
        <v>602396.80999999994</v>
      </c>
      <c r="R178" s="686">
        <f>'[3]14. Bývanie'!$AD$24</f>
        <v>0</v>
      </c>
      <c r="S178" s="687">
        <f>'[3]14. Bývanie'!$AE$24</f>
        <v>214983.36999999997</v>
      </c>
    </row>
    <row r="179" spans="1:19" s="123" customFormat="1" ht="15.75" x14ac:dyDescent="0.25">
      <c r="A179" s="125"/>
      <c r="B179" s="277" t="s">
        <v>373</v>
      </c>
      <c r="C179" s="284"/>
      <c r="D179" s="265">
        <f t="shared" ref="D179:S179" si="138">SUM(D180:D182)</f>
        <v>2038720.4100000011</v>
      </c>
      <c r="E179" s="266">
        <f t="shared" si="138"/>
        <v>2038720.4100000011</v>
      </c>
      <c r="F179" s="266">
        <f t="shared" si="138"/>
        <v>0</v>
      </c>
      <c r="G179" s="341">
        <f t="shared" si="138"/>
        <v>0</v>
      </c>
      <c r="H179" s="265">
        <f t="shared" si="138"/>
        <v>3064151.49</v>
      </c>
      <c r="I179" s="266">
        <f t="shared" si="138"/>
        <v>2297540.6</v>
      </c>
      <c r="J179" s="266">
        <f t="shared" si="138"/>
        <v>0</v>
      </c>
      <c r="K179" s="267">
        <f t="shared" si="138"/>
        <v>766610.89</v>
      </c>
      <c r="L179" s="265">
        <f t="shared" si="138"/>
        <v>6422058</v>
      </c>
      <c r="M179" s="266">
        <f t="shared" si="138"/>
        <v>2637458</v>
      </c>
      <c r="N179" s="266">
        <f t="shared" si="138"/>
        <v>836800</v>
      </c>
      <c r="O179" s="354">
        <f t="shared" si="138"/>
        <v>2947800</v>
      </c>
      <c r="P179" s="674">
        <f t="shared" si="138"/>
        <v>5986346.2800000003</v>
      </c>
      <c r="Q179" s="675">
        <f t="shared" si="138"/>
        <v>2479386.9</v>
      </c>
      <c r="R179" s="675">
        <f t="shared" si="138"/>
        <v>821848.39</v>
      </c>
      <c r="S179" s="676">
        <f t="shared" si="138"/>
        <v>2685110.99</v>
      </c>
    </row>
    <row r="180" spans="1:19" ht="15.75" x14ac:dyDescent="0.25">
      <c r="B180" s="299" t="s">
        <v>414</v>
      </c>
      <c r="C180" s="298" t="s">
        <v>419</v>
      </c>
      <c r="D180" s="259">
        <f>SUM(E180:G180)</f>
        <v>2029801.040000001</v>
      </c>
      <c r="E180" s="257">
        <f>'[1]15. Administratíva'!$W$4</f>
        <v>2029801.040000001</v>
      </c>
      <c r="F180" s="257">
        <f>'[1]15. Administratíva'!$X$4</f>
        <v>0</v>
      </c>
      <c r="G180" s="270">
        <f>'[1]15. Administratíva'!$Y$4</f>
        <v>0</v>
      </c>
      <c r="H180" s="259">
        <f>SUM(I180:K180)</f>
        <v>2280802.67</v>
      </c>
      <c r="I180" s="257">
        <f>'[2]15. Administratíva'!$W$4</f>
        <v>2280802.67</v>
      </c>
      <c r="J180" s="257">
        <f>'[2]15. Administratíva'!$X$4</f>
        <v>0</v>
      </c>
      <c r="K180" s="258">
        <f>'[2]15. Administratíva'!$Y$4</f>
        <v>0</v>
      </c>
      <c r="L180" s="259">
        <f>SUM(M180:O180)</f>
        <v>3277258</v>
      </c>
      <c r="M180" s="257">
        <f>'[3]15. Administratíva'!$Z$4</f>
        <v>2440458</v>
      </c>
      <c r="N180" s="257">
        <f>'[3]15. Administratíva'!$AA$4</f>
        <v>836800</v>
      </c>
      <c r="O180" s="355">
        <f>'[3]15. Administratíva'!$AB$4</f>
        <v>0</v>
      </c>
      <c r="P180" s="677">
        <f>SUM(Q180:S180)</f>
        <v>3104583.59</v>
      </c>
      <c r="Q180" s="678">
        <f>'[3]15. Administratíva'!$AC$4</f>
        <v>2282735.1999999997</v>
      </c>
      <c r="R180" s="678">
        <f>'[3]15. Administratíva'!$AD$4</f>
        <v>821848.39</v>
      </c>
      <c r="S180" s="679">
        <f>'[3]15. Administratíva'!$AE$4</f>
        <v>0</v>
      </c>
    </row>
    <row r="181" spans="1:19" ht="15.75" x14ac:dyDescent="0.25">
      <c r="B181" s="299" t="s">
        <v>415</v>
      </c>
      <c r="C181" s="298" t="s">
        <v>417</v>
      </c>
      <c r="D181" s="259">
        <f>SUM(E181:G181)</f>
        <v>0</v>
      </c>
      <c r="E181" s="257">
        <f>'[1]15. Administratíva'!$W$100</f>
        <v>0</v>
      </c>
      <c r="F181" s="257">
        <f>'[1]15. Administratíva'!$X$100</f>
        <v>0</v>
      </c>
      <c r="G181" s="270">
        <f>'[1]15. Administratíva'!$Y$100</f>
        <v>0</v>
      </c>
      <c r="H181" s="259">
        <f>SUM(I181:K181)</f>
        <v>0</v>
      </c>
      <c r="I181" s="257">
        <v>0</v>
      </c>
      <c r="J181" s="257">
        <v>0</v>
      </c>
      <c r="K181" s="258">
        <v>0</v>
      </c>
      <c r="L181" s="259">
        <f>SUM(M181:O181)</f>
        <v>0</v>
      </c>
      <c r="M181" s="257">
        <f>'[3]15. Administratíva'!$Z$102</f>
        <v>0</v>
      </c>
      <c r="N181" s="257">
        <f>'[3]15. Administratíva'!$AA$102</f>
        <v>0</v>
      </c>
      <c r="O181" s="355">
        <f>'[3]15. Administratíva'!$AB$102</f>
        <v>0</v>
      </c>
      <c r="P181" s="677">
        <f>SUM(Q181:S181)</f>
        <v>0</v>
      </c>
      <c r="Q181" s="678">
        <f>'[3]15. Administratíva'!$AC$102</f>
        <v>0</v>
      </c>
      <c r="R181" s="678">
        <f>'[3]15. Administratíva'!$AD$102</f>
        <v>0</v>
      </c>
      <c r="S181" s="679">
        <f>'[3]15. Administratíva'!$AE$102</f>
        <v>0</v>
      </c>
    </row>
    <row r="182" spans="1:19" ht="16.5" thickBot="1" x14ac:dyDescent="0.3">
      <c r="A182" s="124"/>
      <c r="B182" s="302" t="s">
        <v>416</v>
      </c>
      <c r="C182" s="298" t="s">
        <v>418</v>
      </c>
      <c r="D182" s="262">
        <f>SUM(E182:G182)</f>
        <v>8919.3700000000008</v>
      </c>
      <c r="E182" s="395">
        <f>'[1]15. Administratíva'!$W$101</f>
        <v>8919.3700000000008</v>
      </c>
      <c r="F182" s="395">
        <f>'[1]15. Administratíva'!$X$101</f>
        <v>0</v>
      </c>
      <c r="G182" s="449">
        <f>'[1]15. Administratíva'!$Y$101</f>
        <v>0</v>
      </c>
      <c r="H182" s="262">
        <f>SUM(I182:K182)</f>
        <v>783348.82000000007</v>
      </c>
      <c r="I182" s="263">
        <f>'[2]15. Administratíva'!$W$101</f>
        <v>16737.93</v>
      </c>
      <c r="J182" s="263">
        <f>'[2]15. Administratíva'!$X$101</f>
        <v>0</v>
      </c>
      <c r="K182" s="264">
        <f>'[2]15. Administratíva'!$Y$101</f>
        <v>766610.89</v>
      </c>
      <c r="L182" s="262">
        <f>SUM(M182:O182)</f>
        <v>3144800</v>
      </c>
      <c r="M182" s="349">
        <f>'[3]15. Administratíva'!$Z$103</f>
        <v>197000</v>
      </c>
      <c r="N182" s="263">
        <f>'[3]15. Administratíva'!$AA$103</f>
        <v>0</v>
      </c>
      <c r="O182" s="481">
        <f>'[3]15. Administratíva'!$AB$103</f>
        <v>2947800</v>
      </c>
      <c r="P182" s="688">
        <f>SUM(Q182:S182)</f>
        <v>2881762.6900000004</v>
      </c>
      <c r="Q182" s="689">
        <f>'[3]15. Administratíva'!$AC$103</f>
        <v>196651.7</v>
      </c>
      <c r="R182" s="689">
        <f>'[3]15. Administratíva'!$AD$103</f>
        <v>0</v>
      </c>
      <c r="S182" s="690">
        <f>'[3]15. Administratíva'!$AE$103</f>
        <v>2685110.99</v>
      </c>
    </row>
    <row r="185" spans="1:19" x14ac:dyDescent="0.2">
      <c r="A185" s="124"/>
    </row>
    <row r="191" spans="1:19" x14ac:dyDescent="0.2">
      <c r="A191" s="124"/>
    </row>
    <row r="192" spans="1:19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6">
    <mergeCell ref="B1:S2"/>
    <mergeCell ref="B4:C5"/>
    <mergeCell ref="D3:G4"/>
    <mergeCell ref="H3:K4"/>
    <mergeCell ref="L3:O4"/>
    <mergeCell ref="P3:S4"/>
  </mergeCells>
  <phoneticPr fontId="0" type="noConversion"/>
  <pageMargins left="0" right="0" top="0" bottom="0" header="0.51181102362204722" footer="0.51181102362204722"/>
  <pageSetup paperSize="8" scale="75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787" t="s">
        <v>393</v>
      </c>
      <c r="B1" s="787"/>
      <c r="C1" s="787"/>
      <c r="D1" s="787"/>
      <c r="E1" s="787"/>
      <c r="F1" s="787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793" t="s">
        <v>132</v>
      </c>
      <c r="E5" s="793"/>
      <c r="F5" s="793"/>
      <c r="G5" s="793"/>
      <c r="H5" s="794" t="s">
        <v>133</v>
      </c>
      <c r="I5" s="794"/>
      <c r="J5" s="794"/>
      <c r="K5" s="794"/>
      <c r="L5" s="788" t="s">
        <v>2</v>
      </c>
      <c r="M5" s="788"/>
      <c r="N5" s="788"/>
      <c r="O5" s="788"/>
      <c r="P5" s="788" t="s">
        <v>391</v>
      </c>
      <c r="Q5" s="788"/>
      <c r="R5" s="788"/>
      <c r="S5" s="788"/>
      <c r="T5" s="788" t="s">
        <v>387</v>
      </c>
      <c r="U5" s="788"/>
      <c r="V5" s="788"/>
      <c r="W5" s="788"/>
    </row>
    <row r="6" spans="1:23" ht="12.75" customHeight="1" thickBot="1" x14ac:dyDescent="0.25">
      <c r="A6" s="61"/>
      <c r="B6" s="790" t="s">
        <v>134</v>
      </c>
      <c r="C6" s="790"/>
      <c r="D6" s="129" t="s">
        <v>135</v>
      </c>
      <c r="E6" s="791" t="s">
        <v>136</v>
      </c>
      <c r="F6" s="791"/>
      <c r="G6" s="791"/>
      <c r="H6" s="129" t="s">
        <v>135</v>
      </c>
      <c r="I6" s="792" t="s">
        <v>137</v>
      </c>
      <c r="J6" s="792"/>
      <c r="K6" s="792"/>
      <c r="L6" s="130" t="s">
        <v>135</v>
      </c>
      <c r="M6" s="789" t="s">
        <v>138</v>
      </c>
      <c r="N6" s="789"/>
      <c r="O6" s="789"/>
      <c r="P6" s="130" t="s">
        <v>135</v>
      </c>
      <c r="Q6" s="789" t="s">
        <v>138</v>
      </c>
      <c r="R6" s="789"/>
      <c r="S6" s="789"/>
      <c r="T6" s="130" t="s">
        <v>135</v>
      </c>
      <c r="U6" s="789" t="s">
        <v>139</v>
      </c>
      <c r="V6" s="789"/>
      <c r="W6" s="789"/>
    </row>
    <row r="7" spans="1:23" ht="24.75" thickBot="1" x14ac:dyDescent="0.25">
      <c r="A7" s="61"/>
      <c r="B7" s="790"/>
      <c r="C7" s="790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'[4]1.Plánovanie, manažment a kontr'!#REF!</f>
        <v>#REF!</v>
      </c>
      <c r="N12" s="73" t="e">
        <f>'[4]1.Plánovanie, manažment a kontr'!#REF!</f>
        <v>#REF!</v>
      </c>
      <c r="O12" s="75" t="e">
        <f>'[4]1.Plánovanie,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'[4]1.Plánovanie, manažment a kontr'!$H$5</f>
        <v>39379</v>
      </c>
      <c r="V12" s="73">
        <f>'[4]1.Plánovanie, manažment a kontr'!$I$5</f>
        <v>0</v>
      </c>
      <c r="W12" s="75">
        <f>'[4]1.Plánovanie,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'[4]1.Plánovanie, manažment a kontr'!#REF!</f>
        <v>#REF!</v>
      </c>
      <c r="N13" s="73" t="e">
        <f>'[4]1.Plánovanie, manažment a kontr'!#REF!</f>
        <v>#REF!</v>
      </c>
      <c r="O13" s="75" t="e">
        <f>'[4]1.Plánovanie,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'[4]1.Plánovanie, manažment a kontr'!$H$16</f>
        <v>26321</v>
      </c>
      <c r="V13" s="73">
        <f>'[4]1.Plánovanie, manažment a kontr'!$I$16</f>
        <v>0</v>
      </c>
      <c r="W13" s="75">
        <f>'[4]1.Plánovanie,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'[4]1.Plánovanie, manažment a kontr'!#REF!</f>
        <v>#REF!</v>
      </c>
      <c r="N14" s="73" t="e">
        <f>'[4]1.Plánovanie, manažment a kontr'!#REF!</f>
        <v>#REF!</v>
      </c>
      <c r="O14" s="75" t="e">
        <f>'[4]1.Plánovanie,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'[4]1.Plánovanie, manažment a kontr'!$H$27</f>
        <v>34932</v>
      </c>
      <c r="V14" s="73">
        <f>'[4]1.Plánovanie, manažment a kontr'!$I$27</f>
        <v>0</v>
      </c>
      <c r="W14" s="75">
        <f>'[4]1.Plánovanie,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'[4]1.Plánovanie, manažment a kontr'!#REF!</f>
        <v>#REF!</v>
      </c>
      <c r="N15" s="73" t="e">
        <f>'[4]1.Plánovanie, manažment a kontr'!#REF!</f>
        <v>#REF!</v>
      </c>
      <c r="O15" s="75" t="e">
        <f>'[4]1.Plánovanie,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'[4]1.Plánovanie, manažment a kontr'!$H$31</f>
        <v>0</v>
      </c>
      <c r="V15" s="73">
        <f>'[4]1.Plánovanie, manažment a kontr'!$I$31</f>
        <v>0</v>
      </c>
      <c r="W15" s="75">
        <f>'[4]1.Plánovanie,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'[4]1.Plánovanie, manažment a kontr'!#REF!</f>
        <v>#REF!</v>
      </c>
      <c r="N17" s="73" t="e">
        <f>'[4]1.Plánovanie, manažment a kontr'!#REF!</f>
        <v>#REF!</v>
      </c>
      <c r="O17" s="75" t="e">
        <f>'[4]1.Plánovanie,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'[4]1.Plánovanie, manažment a kontr'!$H$35</f>
        <v>2046</v>
      </c>
      <c r="V17" s="73">
        <f>'[4]1.Plánovanie, manažment a kontr'!$I$35</f>
        <v>0</v>
      </c>
      <c r="W17" s="75">
        <f>'[4]1.Plánovanie,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'[4]1.Plánovanie, manažment a kontr'!#REF!</f>
        <v>#REF!</v>
      </c>
      <c r="N18" s="73" t="e">
        <f>'[4]1.Plánovanie, manažment a kontr'!#REF!</f>
        <v>#REF!</v>
      </c>
      <c r="O18" s="75" t="e">
        <f>'[4]1.Plánovanie,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'[4]1.Plánovanie, manažment a kontr'!$H$47</f>
        <v>10904</v>
      </c>
      <c r="V18" s="73">
        <f>'[4]1.Plánovanie, manažment a kontr'!$I$47</f>
        <v>0</v>
      </c>
      <c r="W18" s="75">
        <f>'[4]1.Plánovanie,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'[4]1.Plánovanie, manažment a kontr'!#REF!</f>
        <v>#REF!</v>
      </c>
      <c r="N19" s="73" t="e">
        <f>'[4]1.Plánovanie, manažment a kontr'!#REF!</f>
        <v>#REF!</v>
      </c>
      <c r="O19" s="75" t="e">
        <f>'[4]1.Plánovanie,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'[4]1.Plánovanie, manažment a kontr'!$H$50</f>
        <v>9650</v>
      </c>
      <c r="V19" s="73">
        <f>'[4]1.Plánovanie, manažment a kontr'!$I$50</f>
        <v>22568</v>
      </c>
      <c r="W19" s="75">
        <f>'[4]1.Plánovanie,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'[4]1.Plánovanie, manažment a kontr'!#REF!</f>
        <v>#REF!</v>
      </c>
      <c r="N20" s="172" t="e">
        <f>'[4]1.Plánovanie, manažment a kontr'!#REF!</f>
        <v>#REF!</v>
      </c>
      <c r="O20" s="174" t="e">
        <f>'[4]1.Plánovanie,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'[4]1.Plánovanie, manažment a kontr'!$H$62</f>
        <v>44354</v>
      </c>
      <c r="V20" s="172">
        <f>'[4]1.Plánovanie, manažment a kontr'!$I$62</f>
        <v>0</v>
      </c>
      <c r="W20" s="174">
        <f>'[4]1.Plánovanie,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'[4]1.Plánovanie, manažment a kontr'!#REF!</f>
        <v>#REF!</v>
      </c>
      <c r="N21" s="172" t="e">
        <f>'[4]1.Plánovanie, manažment a kontr'!#REF!</f>
        <v>#REF!</v>
      </c>
      <c r="O21" s="174" t="e">
        <f>'[4]1.Plánovanie,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'[4]1.Plánovanie, manažment a kontr'!$H$72</f>
        <v>3600</v>
      </c>
      <c r="V21" s="172">
        <f>'[4]1.Plánovanie, manažment a kontr'!$I$72</f>
        <v>0</v>
      </c>
      <c r="W21" s="174">
        <f>'[4]1.Plánovanie,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'[4]1.Plánovanie, manažment a kontr'!#REF!</f>
        <v>#REF!</v>
      </c>
      <c r="N22" s="172" t="e">
        <f>'[4]1.Plánovanie, manažment a kontr'!#REF!</f>
        <v>#REF!</v>
      </c>
      <c r="O22" s="174" t="e">
        <f>'[4]1.Plánovanie,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'[4]1.Plánovanie, manažment a kontr'!$H$75</f>
        <v>8366</v>
      </c>
      <c r="V22" s="172">
        <f>'[4]1.Plánovanie, manažment a kontr'!$I$75</f>
        <v>0</v>
      </c>
      <c r="W22" s="174">
        <f>'[4]1.Plánovanie,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'[4]1.Plánovanie, manažment a kontr'!#REF!</f>
        <v>#REF!</v>
      </c>
      <c r="N23" s="181" t="e">
        <f>'[4]1.Plánovanie, manažment a kontr'!#REF!</f>
        <v>#REF!</v>
      </c>
      <c r="O23" s="182" t="e">
        <f>'[4]1.Plánovanie,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'[4]1.Plánovanie, manažment a kontr'!$H$79</f>
        <v>0</v>
      </c>
      <c r="V23" s="181">
        <f>'[4]1.Plánovanie, manažment a kontr'!$I$79</f>
        <v>0</v>
      </c>
      <c r="W23" s="182">
        <f>'[4]1.Plánovanie,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'[4]2. Propagácia a marketing'!#REF!</f>
        <v>#REF!</v>
      </c>
      <c r="G26" s="74" t="e">
        <f>'[4]2.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'[4]2. Propagácia a marketing'!#REF!</f>
        <v>#REF!</v>
      </c>
      <c r="K26" s="75" t="e">
        <f>'[4]2. Propagácia a marketing'!#REF!</f>
        <v>#REF!</v>
      </c>
      <c r="L26" s="76" t="e">
        <f t="shared" ref="L26:L33" si="11">SUM(M26:O26)</f>
        <v>#REF!</v>
      </c>
      <c r="M26" s="73" t="e">
        <f>'[4]2. Propagácia a marketing'!#REF!</f>
        <v>#REF!</v>
      </c>
      <c r="N26" s="73" t="e">
        <f>'[4]2. Propagácia a marketing'!#REF!</f>
        <v>#REF!</v>
      </c>
      <c r="O26" s="75" t="e">
        <f>'[4]2.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'[4]2. Propagácia a marketing'!$H$5</f>
        <v>130</v>
      </c>
      <c r="V26" s="73">
        <f>'[4]2. Propagácia a marketing'!$I$5</f>
        <v>0</v>
      </c>
      <c r="W26" s="75">
        <f>'[4]2.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'[4]2. Propagácia a marketing'!#REF!</f>
        <v>#REF!</v>
      </c>
      <c r="G27" s="74" t="e">
        <f>'[4]2. Propagácia a marketing'!#REF!</f>
        <v>#REF!</v>
      </c>
      <c r="H27" s="72" t="e">
        <f t="shared" si="10"/>
        <v>#REF!</v>
      </c>
      <c r="I27" s="73">
        <v>239</v>
      </c>
      <c r="J27" s="73" t="e">
        <f>'[4]2. Propagácia a marketing'!#REF!</f>
        <v>#REF!</v>
      </c>
      <c r="K27" s="75" t="e">
        <f>'[4]2. Propagácia a marketing'!#REF!</f>
        <v>#REF!</v>
      </c>
      <c r="L27" s="76" t="e">
        <f t="shared" si="11"/>
        <v>#REF!</v>
      </c>
      <c r="M27" s="73" t="e">
        <f>'[4]2. Propagácia a marketing'!#REF!</f>
        <v>#REF!</v>
      </c>
      <c r="N27" s="73" t="e">
        <f>'[4]2. Propagácia a marketing'!#REF!</f>
        <v>#REF!</v>
      </c>
      <c r="O27" s="75" t="e">
        <f>'[4]2.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'[4]2. Propagácia a marketing'!$H$7</f>
        <v>1000</v>
      </c>
      <c r="V27" s="73">
        <f>'[4]2. Propagácia a marketing'!$I$7</f>
        <v>0</v>
      </c>
      <c r="W27" s="75">
        <f>'[4]2.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'[4]2. Propagácia a marketing'!#REF!</f>
        <v>#REF!</v>
      </c>
      <c r="G28" s="74" t="e">
        <f>'[4]2. Propagácia a marketing'!#REF!</f>
        <v>#REF!</v>
      </c>
      <c r="H28" s="72" t="e">
        <f t="shared" si="10"/>
        <v>#REF!</v>
      </c>
      <c r="I28" s="73">
        <v>1669</v>
      </c>
      <c r="J28" s="73" t="e">
        <f>'[4]2. Propagácia a marketing'!#REF!</f>
        <v>#REF!</v>
      </c>
      <c r="K28" s="75" t="e">
        <f>'[4]2. Propagácia a marketing'!#REF!</f>
        <v>#REF!</v>
      </c>
      <c r="L28" s="76" t="e">
        <f t="shared" si="11"/>
        <v>#REF!</v>
      </c>
      <c r="M28" s="73" t="e">
        <f>'[4]2. Propagácia a marketing'!#REF!</f>
        <v>#REF!</v>
      </c>
      <c r="N28" s="73" t="e">
        <f>'[4]2. Propagácia a marketing'!#REF!</f>
        <v>#REF!</v>
      </c>
      <c r="O28" s="75" t="e">
        <f>'[4]2.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'[4]2. Propagácia a marketing'!$H$11</f>
        <v>5765</v>
      </c>
      <c r="V28" s="73">
        <f>'[4]2. Propagácia a marketing'!$I$11</f>
        <v>0</v>
      </c>
      <c r="W28" s="75">
        <f>'[4]2.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'[4]2. Propagácia a marketing'!#REF!</f>
        <v>#REF!</v>
      </c>
      <c r="G29" s="74" t="e">
        <f>'[4]2. Propagácia a marketing'!#REF!</f>
        <v>#REF!</v>
      </c>
      <c r="H29" s="72" t="e">
        <f t="shared" si="10"/>
        <v>#REF!</v>
      </c>
      <c r="I29" s="73">
        <v>2024</v>
      </c>
      <c r="J29" s="73" t="e">
        <f>'[4]2. Propagácia a marketing'!#REF!</f>
        <v>#REF!</v>
      </c>
      <c r="K29" s="75" t="e">
        <f>'[4]2. Propagácia a marketing'!#REF!</f>
        <v>#REF!</v>
      </c>
      <c r="L29" s="76" t="e">
        <f t="shared" si="11"/>
        <v>#REF!</v>
      </c>
      <c r="M29" s="73" t="e">
        <f>'[4]2. Propagácia a marketing'!#REF!</f>
        <v>#REF!</v>
      </c>
      <c r="N29" s="73" t="e">
        <f>'[4]2. Propagácia a marketing'!#REF!</f>
        <v>#REF!</v>
      </c>
      <c r="O29" s="75" t="e">
        <f>'[4]2.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'[4]2. Propagácia a marketing'!$H$19</f>
        <v>1000</v>
      </c>
      <c r="V29" s="73">
        <f>'[4]2. Propagácia a marketing'!$I$19</f>
        <v>0</v>
      </c>
      <c r="W29" s="75">
        <f>'[4]2.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'[4]2. Propagácia a marketing'!#REF!</f>
        <v>#REF!</v>
      </c>
      <c r="G30" s="74" t="e">
        <f>'[4]2. Propagácia a marketing'!#REF!</f>
        <v>#REF!</v>
      </c>
      <c r="H30" s="72" t="e">
        <f t="shared" si="10"/>
        <v>#REF!</v>
      </c>
      <c r="I30" s="73">
        <v>764</v>
      </c>
      <c r="J30" s="73" t="e">
        <f>'[4]2. Propagácia a marketing'!#REF!</f>
        <v>#REF!</v>
      </c>
      <c r="K30" s="75" t="e">
        <f>'[4]2. Propagácia a marketing'!#REF!</f>
        <v>#REF!</v>
      </c>
      <c r="L30" s="76" t="e">
        <f t="shared" si="11"/>
        <v>#REF!</v>
      </c>
      <c r="M30" s="73" t="e">
        <f>'[4]2. Propagácia a marketing'!#REF!</f>
        <v>#REF!</v>
      </c>
      <c r="N30" s="73" t="e">
        <f>'[4]2. Propagácia a marketing'!#REF!</f>
        <v>#REF!</v>
      </c>
      <c r="O30" s="75" t="e">
        <f>'[4]2.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'[4]2. Propagácia a marketing'!$H$21</f>
        <v>0</v>
      </c>
      <c r="V30" s="73">
        <f>'[4]2. Propagácia a marketing'!$I$21</f>
        <v>0</v>
      </c>
      <c r="W30" s="75">
        <f>'[4]2.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'[4]2. Propagácia a marketing'!#REF!</f>
        <v>#REF!</v>
      </c>
      <c r="G31" s="74" t="e">
        <f>'[4]2. Propagácia a marketing'!#REF!</f>
        <v>#REF!</v>
      </c>
      <c r="H31" s="72" t="e">
        <f t="shared" si="10"/>
        <v>#REF!</v>
      </c>
      <c r="I31" s="73">
        <v>1363</v>
      </c>
      <c r="J31" s="73" t="e">
        <f>'[4]2. Propagácia a marketing'!#REF!</f>
        <v>#REF!</v>
      </c>
      <c r="K31" s="75" t="e">
        <f>'[4]2. Propagácia a marketing'!#REF!</f>
        <v>#REF!</v>
      </c>
      <c r="L31" s="76" t="e">
        <f t="shared" si="11"/>
        <v>#REF!</v>
      </c>
      <c r="M31" s="73" t="e">
        <f>'[4]2. Propagácia a marketing'!#REF!</f>
        <v>#REF!</v>
      </c>
      <c r="N31" s="73" t="e">
        <f>'[4]2. Propagácia a marketing'!#REF!</f>
        <v>#REF!</v>
      </c>
      <c r="O31" s="75" t="e">
        <f>'[4]2.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'[4]2. Propagácia a marketing'!$H$24</f>
        <v>0</v>
      </c>
      <c r="V31" s="73">
        <f>'[4]2. Propagácia a marketing'!$I$24</f>
        <v>0</v>
      </c>
      <c r="W31" s="75">
        <f>'[4]2.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'[4]2. Propagácia a marketing'!#REF!</f>
        <v>#REF!</v>
      </c>
      <c r="G32" s="74" t="e">
        <f>'[4]2. Propagácia a marketing'!#REF!</f>
        <v>#REF!</v>
      </c>
      <c r="H32" s="72" t="e">
        <f t="shared" si="10"/>
        <v>#REF!</v>
      </c>
      <c r="I32" s="73">
        <v>1530</v>
      </c>
      <c r="J32" s="73" t="e">
        <f>'[4]2. Propagácia a marketing'!#REF!</f>
        <v>#REF!</v>
      </c>
      <c r="K32" s="75" t="e">
        <f>'[4]2. Propagácia a marketing'!#REF!</f>
        <v>#REF!</v>
      </c>
      <c r="L32" s="76" t="e">
        <f t="shared" si="11"/>
        <v>#REF!</v>
      </c>
      <c r="M32" s="73" t="e">
        <f>'[4]2. Propagácia a marketing'!#REF!</f>
        <v>#REF!</v>
      </c>
      <c r="N32" s="73" t="e">
        <f>'[4]2. Propagácia a marketing'!#REF!</f>
        <v>#REF!</v>
      </c>
      <c r="O32" s="75" t="e">
        <f>'[4]2.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'[4]2. Propagácia a marketing'!$H$26</f>
        <v>1480</v>
      </c>
      <c r="V32" s="73">
        <f>'[4]2. Propagácia a marketing'!$I$26</f>
        <v>0</v>
      </c>
      <c r="W32" s="75">
        <f>'[4]2.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'[4]2. Propagácia a marketing'!#REF!</f>
        <v>#REF!</v>
      </c>
      <c r="G33" s="74" t="e">
        <f>'[4]2. Propagácia a marketing'!#REF!</f>
        <v>#REF!</v>
      </c>
      <c r="H33" s="72" t="e">
        <f t="shared" si="10"/>
        <v>#REF!</v>
      </c>
      <c r="I33" s="73">
        <v>0</v>
      </c>
      <c r="J33" s="73" t="e">
        <f>'[4]2. Propagácia a marketing'!#REF!</f>
        <v>#REF!</v>
      </c>
      <c r="K33" s="75" t="e">
        <f>'[4]2. Propagácia a marketing'!#REF!</f>
        <v>#REF!</v>
      </c>
      <c r="L33" s="76" t="e">
        <f t="shared" si="11"/>
        <v>#REF!</v>
      </c>
      <c r="M33" s="73" t="e">
        <f>'[4]2. Propagácia a marketing'!#REF!</f>
        <v>#REF!</v>
      </c>
      <c r="N33" s="73" t="e">
        <f>'[4]2. Propagácia a marketing'!#REF!</f>
        <v>#REF!</v>
      </c>
      <c r="O33" s="75" t="e">
        <f>'[4]2.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'[4]2. Propagácia a marketing'!$H$28</f>
        <v>0</v>
      </c>
      <c r="V33" s="73">
        <f>'[4]2. Propagácia a marketing'!$I$28</f>
        <v>0</v>
      </c>
      <c r="W33" s="75">
        <f>'[4]2.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'[4]2. Propagácia a marketing'!#REF!</f>
        <v>#REF!</v>
      </c>
      <c r="G35" s="74" t="e">
        <f>'[4]2. Propagácia a marketing'!#REF!</f>
        <v>#REF!</v>
      </c>
      <c r="H35" s="72" t="e">
        <f>SUM(I35:K35)</f>
        <v>#REF!</v>
      </c>
      <c r="I35" s="73">
        <v>9757</v>
      </c>
      <c r="J35" s="73" t="e">
        <f>'[4]2. Propagácia a marketing'!#REF!</f>
        <v>#REF!</v>
      </c>
      <c r="K35" s="75" t="e">
        <f>'[4]2. Propagácia a marketing'!#REF!</f>
        <v>#REF!</v>
      </c>
      <c r="L35" s="76" t="e">
        <f>SUM(M35:O35)</f>
        <v>#REF!</v>
      </c>
      <c r="M35" s="73" t="e">
        <f>'[4]2. Propagácia a marketing'!#REF!</f>
        <v>#REF!</v>
      </c>
      <c r="N35" s="73" t="e">
        <f>'[4]2. Propagácia a marketing'!#REF!</f>
        <v>#REF!</v>
      </c>
      <c r="O35" s="75" t="e">
        <f>'[4]2.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'[4]2. Propagácia a marketing'!$H$32</f>
        <v>3580</v>
      </c>
      <c r="V35" s="73">
        <f>'[4]2. Propagácia a marketing'!$I$32</f>
        <v>0</v>
      </c>
      <c r="W35" s="75">
        <f>'[4]2.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'[4]2. Propagácia a marketing'!#REF!</f>
        <v>#REF!</v>
      </c>
      <c r="G36" s="74" t="e">
        <f>'[4]2. Propagácia a marketing'!#REF!</f>
        <v>#REF!</v>
      </c>
      <c r="H36" s="72" t="e">
        <f>SUM(I36:K36)</f>
        <v>#REF!</v>
      </c>
      <c r="I36" s="73">
        <v>1807</v>
      </c>
      <c r="J36" s="73" t="e">
        <f>'[4]2. Propagácia a marketing'!#REF!</f>
        <v>#REF!</v>
      </c>
      <c r="K36" s="75" t="e">
        <f>'[4]2. Propagácia a marketing'!#REF!</f>
        <v>#REF!</v>
      </c>
      <c r="L36" s="76" t="e">
        <f>SUM(M36:O36)</f>
        <v>#REF!</v>
      </c>
      <c r="M36" s="73" t="e">
        <f>'[4]2. Propagácia a marketing'!#REF!</f>
        <v>#REF!</v>
      </c>
      <c r="N36" s="73" t="e">
        <f>'[4]2. Propagácia a marketing'!#REF!</f>
        <v>#REF!</v>
      </c>
      <c r="O36" s="75" t="e">
        <f>'[4]2.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'[4]2. Propagácia a marketing'!$H$54</f>
        <v>570</v>
      </c>
      <c r="V36" s="73" t="e">
        <f>'[4]2. Propagácia a marketing'!$I$54</f>
        <v>#REF!</v>
      </c>
      <c r="W36" s="75" t="e">
        <f>'[4]2.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'[4]2. Propagácia a marketing'!#REF!</f>
        <v>#REF!</v>
      </c>
      <c r="G37" s="180" t="e">
        <f>'[4]2. Propagácia a marketing'!#REF!</f>
        <v>#REF!</v>
      </c>
      <c r="H37" s="186" t="e">
        <f>SUM(I37:K37)</f>
        <v>#REF!</v>
      </c>
      <c r="I37" s="181">
        <v>4354</v>
      </c>
      <c r="J37" s="181" t="e">
        <f>'[4]2. Propagácia a marketing'!#REF!</f>
        <v>#REF!</v>
      </c>
      <c r="K37" s="182" t="e">
        <f>'[4]2. Propagácia a marketing'!#REF!</f>
        <v>#REF!</v>
      </c>
      <c r="L37" s="187" t="e">
        <f>SUM(M37:O37)</f>
        <v>#REF!</v>
      </c>
      <c r="M37" s="179" t="e">
        <f>'[4]2. Propagácia a marketing'!#REF!</f>
        <v>#REF!</v>
      </c>
      <c r="N37" s="179" t="e">
        <f>'[4]2. Propagácia a marketing'!#REF!</f>
        <v>#REF!</v>
      </c>
      <c r="O37" s="188" t="e">
        <f>'[4]2.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'[4]2. Propagácia a marketing'!$H$60</f>
        <v>1000</v>
      </c>
      <c r="V37" s="179" t="e">
        <f>'[4]2. Propagácia a marketing'!$I$60</f>
        <v>#REF!</v>
      </c>
      <c r="W37" s="188" t="e">
        <f>'[4]2.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'[4]3.Interné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'[4]3.Interné služby'!#REF!</f>
        <v>#REF!</v>
      </c>
      <c r="L39" s="175" t="e">
        <f>SUM(M39:O39)</f>
        <v>#REF!</v>
      </c>
      <c r="M39" s="172" t="e">
        <f>'[4]3.Interné služby'!#REF!</f>
        <v>#REF!</v>
      </c>
      <c r="N39" s="172" t="e">
        <f>'[4]3.Interné služby'!#REF!</f>
        <v>#REF!</v>
      </c>
      <c r="O39" s="174" t="e">
        <f>'[4]3.Interné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'[4]3.Interné služby'!$H$4</f>
        <v>46864</v>
      </c>
      <c r="V39" s="172">
        <f>'[4]3.Interné služby'!$I$4</f>
        <v>34000</v>
      </c>
      <c r="W39" s="174">
        <f>'[4]3.Interné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'[4]3.Interné služby'!#REF!</f>
        <v>#REF!</v>
      </c>
      <c r="G40" s="173" t="e">
        <f>'[4]3.Interné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'[4]3.Interné služby'!#REF!</f>
        <v>#REF!</v>
      </c>
      <c r="L40" s="175" t="e">
        <f>SUM(M40:O40)</f>
        <v>#REF!</v>
      </c>
      <c r="M40" s="172">
        <v>30256</v>
      </c>
      <c r="N40" s="172" t="e">
        <f>'[4]3.Interné služby'!#REF!</f>
        <v>#REF!</v>
      </c>
      <c r="O40" s="174" t="e">
        <f>'[4]3.Interné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'[4]3.Interné služby'!$H$31</f>
        <v>10900</v>
      </c>
      <c r="V40" s="172">
        <f>'[4]3.Interné služby'!$I$31</f>
        <v>0</v>
      </c>
      <c r="W40" s="174">
        <f>'[4]3.Interné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'[4]3.Interné služby'!#REF!</f>
        <v>#REF!</v>
      </c>
      <c r="G42" s="74" t="e">
        <f>'[4]3.Interné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'[4]3.Interné služby'!#REF!</f>
        <v>#REF!</v>
      </c>
      <c r="L42" s="76" t="e">
        <f t="shared" ref="L42:L47" si="18">SUM(M42:O42)</f>
        <v>#REF!</v>
      </c>
      <c r="M42" s="73" t="e">
        <f>'[4]3.Interné služby'!#REF!</f>
        <v>#REF!</v>
      </c>
      <c r="N42" s="73" t="e">
        <f>'[4]3.Interné služby'!#REF!</f>
        <v>#REF!</v>
      </c>
      <c r="O42" s="75" t="e">
        <f>'[4]3.Interné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'[4]3.Interné služby'!$H$37</f>
        <v>3250</v>
      </c>
      <c r="V42" s="73">
        <f>'[4]3.Interné služby'!$I$37</f>
        <v>0</v>
      </c>
      <c r="W42" s="75">
        <f>'[4]3.Interné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'[4]3.Interné služby'!#REF!</f>
        <v>#REF!</v>
      </c>
      <c r="G43" s="74" t="e">
        <f>'[4]3.Interné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'[4]3.Interné služby'!#REF!</f>
        <v>#REF!</v>
      </c>
      <c r="L43" s="76" t="e">
        <f t="shared" si="18"/>
        <v>#REF!</v>
      </c>
      <c r="M43" s="73">
        <v>800</v>
      </c>
      <c r="N43" s="73" t="e">
        <f>'[4]3.Interné služby'!#REF!</f>
        <v>#REF!</v>
      </c>
      <c r="O43" s="75" t="e">
        <f>'[4]3.Interné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'[4]3.Interné služby'!$H$43</f>
        <v>500</v>
      </c>
      <c r="V43" s="73">
        <f>'[4]3.Interné služby'!$I$43</f>
        <v>0</v>
      </c>
      <c r="W43" s="75">
        <f>'[4]3.Interné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'[4]3.Interné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'[4]3.Interné služby'!#REF!</f>
        <v>#REF!</v>
      </c>
      <c r="L44" s="76" t="e">
        <f t="shared" si="18"/>
        <v>#REF!</v>
      </c>
      <c r="M44" s="73" t="e">
        <f>'[4]3.Interné služby'!#REF!</f>
        <v>#REF!</v>
      </c>
      <c r="N44" s="73">
        <v>20700</v>
      </c>
      <c r="O44" s="75" t="e">
        <f>'[4]3.Interné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'[5]3.Interné služby'!$Q$19</f>
        <v>5000</v>
      </c>
      <c r="V44" s="73">
        <f>'[4]3.Interné služby'!$I$47</f>
        <v>0</v>
      </c>
      <c r="W44" s="75">
        <f>'[4]3.Interné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'[4]3.Interné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'[4]3.Interné služby'!#REF!</f>
        <v>#REF!</v>
      </c>
      <c r="L45" s="76" t="e">
        <f t="shared" si="18"/>
        <v>#REF!</v>
      </c>
      <c r="M45" s="73" t="e">
        <f>'[4]3.Interné služby'!#REF!</f>
        <v>#REF!</v>
      </c>
      <c r="N45" s="73" t="e">
        <f>'[4]3.Interné služby'!#REF!</f>
        <v>#REF!</v>
      </c>
      <c r="O45" s="75" t="e">
        <f>'[4]3.Interné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'[4]3.Interné služby'!$H$99</f>
        <v>4000</v>
      </c>
      <c r="V45" s="73" t="e">
        <f>'[4]3.Interné služby'!$I$99</f>
        <v>#REF!</v>
      </c>
      <c r="W45" s="75" t="e">
        <f>'[4]3.Interné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'[4]3.Interné služby'!#REF!</f>
        <v>#REF!</v>
      </c>
      <c r="G46" s="173" t="e">
        <f>'[4]3.Interné služby'!#REF!</f>
        <v>#REF!</v>
      </c>
      <c r="H46" s="171" t="e">
        <f t="shared" si="17"/>
        <v>#REF!</v>
      </c>
      <c r="I46" s="172">
        <v>2400</v>
      </c>
      <c r="J46" s="172" t="e">
        <f>'[4]3.Interné služby'!#REF!</f>
        <v>#REF!</v>
      </c>
      <c r="K46" s="174" t="e">
        <f>'[4]3.Interné služby'!#REF!</f>
        <v>#REF!</v>
      </c>
      <c r="L46" s="175" t="e">
        <f t="shared" si="18"/>
        <v>#REF!</v>
      </c>
      <c r="M46" s="172">
        <v>3900</v>
      </c>
      <c r="N46" s="172" t="e">
        <f>'[4]3.Interné služby'!#REF!</f>
        <v>#REF!</v>
      </c>
      <c r="O46" s="174" t="e">
        <f>'[4]3.Interné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'[4]3.Interné služby'!$H$101</f>
        <v>3700</v>
      </c>
      <c r="V46" s="172" t="e">
        <f>'[4]3.Interné služby'!$I$102</f>
        <v>#REF!</v>
      </c>
      <c r="W46" s="174" t="e">
        <f>'[4]3.Interné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'[4]3.Interné služby'!#REF!</f>
        <v>#REF!</v>
      </c>
      <c r="G47" s="180" t="e">
        <f>'[4]3.Interné služby'!#REF!</f>
        <v>#REF!</v>
      </c>
      <c r="H47" s="186" t="e">
        <f t="shared" si="17"/>
        <v>#REF!</v>
      </c>
      <c r="I47" s="181">
        <v>1630</v>
      </c>
      <c r="J47" s="181" t="e">
        <f>'[4]3.Interné služby'!#REF!</f>
        <v>#REF!</v>
      </c>
      <c r="K47" s="182" t="e">
        <f>'[4]3.Interné služby'!#REF!</f>
        <v>#REF!</v>
      </c>
      <c r="L47" s="187" t="e">
        <f t="shared" si="18"/>
        <v>#REF!</v>
      </c>
      <c r="M47" s="179" t="e">
        <f>'[4]3.Interné služby'!#REF!</f>
        <v>#REF!</v>
      </c>
      <c r="N47" s="179" t="e">
        <f>'[4]3.Interné služby'!#REF!</f>
        <v>#REF!</v>
      </c>
      <c r="O47" s="188" t="e">
        <f>'[4]3.Interné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'[4]3.Interné služby'!$H$108</f>
        <v>1200</v>
      </c>
      <c r="V47" s="179" t="e">
        <f>'[4]3.Interné služby'!$I$108</f>
        <v>#REF!</v>
      </c>
      <c r="W47" s="188" t="e">
        <f>'[4]3.Interné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'[4]4.Služby občanov'!#REF!</f>
        <v>#REF!</v>
      </c>
      <c r="G49" s="173" t="e">
        <f>'[4]4.Služby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'[4]4.Služby občanov'!#REF!</f>
        <v>#REF!</v>
      </c>
      <c r="L49" s="175" t="e">
        <f>SUM(M49:O49)</f>
        <v>#REF!</v>
      </c>
      <c r="M49" s="172" t="e">
        <f>'[4]4.Služby občanov'!#REF!</f>
        <v>#REF!</v>
      </c>
      <c r="N49" s="172" t="e">
        <f>'[4]4.Služby občanov'!#REF!</f>
        <v>#REF!</v>
      </c>
      <c r="O49" s="174" t="e">
        <f>'[4]4.Služby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'[4]4.Služby občanov'!$H$4</f>
        <v>15600</v>
      </c>
      <c r="V49" s="172">
        <f>'[4]4.Služby občanov'!$I$4</f>
        <v>0</v>
      </c>
      <c r="W49" s="174">
        <f>'[4]4.Služby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'[4]4.Služby občanov'!#REF!</f>
        <v>#REF!</v>
      </c>
      <c r="G51" s="74" t="e">
        <f>'[4]4.Služby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'[4]4.Služby občanov'!#REF!</f>
        <v>#REF!</v>
      </c>
      <c r="L51" s="76" t="e">
        <f>SUM(M51:O51)</f>
        <v>#REF!</v>
      </c>
      <c r="M51" s="73" t="e">
        <f>'[4]4.Služby občanov'!#REF!</f>
        <v>#REF!</v>
      </c>
      <c r="N51" s="73" t="e">
        <f>'[4]4.Služby občanov'!#REF!</f>
        <v>#REF!</v>
      </c>
      <c r="O51" s="75" t="e">
        <f>'[4]4.Služby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'[4]4.Služby občanov'!$H$18</f>
        <v>16737</v>
      </c>
      <c r="V51" s="73">
        <f>'[4]4.Služby občanov'!$I$18</f>
        <v>0</v>
      </c>
      <c r="W51" s="75">
        <f>'[4]4.Služby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'[4]4.Služby občanov'!#REF!</f>
        <v>#REF!</v>
      </c>
      <c r="G52" s="74" t="e">
        <f>'[4]4.Služby občanov'!#REF!</f>
        <v>#REF!</v>
      </c>
      <c r="H52" s="72" t="e">
        <f>SUM(I52:K52)</f>
        <v>#REF!</v>
      </c>
      <c r="I52" s="73" t="e">
        <f>'[4]4.Služby občanov'!#REF!</f>
        <v>#REF!</v>
      </c>
      <c r="J52" s="73">
        <v>0</v>
      </c>
      <c r="K52" s="75" t="e">
        <f>'[4]4.Služby občanov'!#REF!</f>
        <v>#REF!</v>
      </c>
      <c r="L52" s="76" t="e">
        <f>SUM(M52:O52)</f>
        <v>#REF!</v>
      </c>
      <c r="M52" s="73" t="e">
        <f>'[4]4.Služby občanov'!#REF!</f>
        <v>#REF!</v>
      </c>
      <c r="N52" s="73" t="e">
        <f>'[4]4.Služby občanov'!#REF!</f>
        <v>#REF!</v>
      </c>
      <c r="O52" s="75" t="e">
        <f>'[4]4.Služby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'[4]4.Služby občanov'!$H$26</f>
        <v>200</v>
      </c>
      <c r="V52" s="73" t="e">
        <f>'[4]4.Služby občanov'!$I$26</f>
        <v>#REF!</v>
      </c>
      <c r="W52" s="75" t="e">
        <f>'[4]4.Služby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'[4]4.Služby občanov'!#REF!</f>
        <v>#REF!</v>
      </c>
      <c r="F53" s="179" t="e">
        <f>'[4]4.Služby občanov'!#REF!</f>
        <v>#REF!</v>
      </c>
      <c r="G53" s="180" t="e">
        <f>'[4]4.Služby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'[4]4.Služby občanov'!#REF!</f>
        <v>#REF!</v>
      </c>
      <c r="L53" s="187" t="e">
        <f>SUM(M53:O53)</f>
        <v>#REF!</v>
      </c>
      <c r="M53" s="179" t="e">
        <f>'[4]4.Služby občanov'!#REF!</f>
        <v>#REF!</v>
      </c>
      <c r="N53" s="179" t="e">
        <f>'[4]4.Služby občanov'!#REF!</f>
        <v>#REF!</v>
      </c>
      <c r="O53" s="188" t="e">
        <f>'[4]4.Služby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'[4]4.Služby občanov'!$H$28</f>
        <v>10</v>
      </c>
      <c r="V53" s="179" t="e">
        <f>'[4]4.Služby občanov'!$I$28</f>
        <v>#REF!</v>
      </c>
      <c r="W53" s="188" t="e">
        <f>'[4]4.Služby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'[4]5.Bezpečnosť,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'[4]5.Bezpečnosť, právo a por.'!#REF!</f>
        <v>#REF!</v>
      </c>
      <c r="L56" s="76" t="e">
        <f t="shared" ref="L56:L61" si="27">SUM(M56:O56)</f>
        <v>#REF!</v>
      </c>
      <c r="M56" s="73" t="e">
        <f>'[4]5.Bezpečnosť, právo a por.'!#REF!</f>
        <v>#REF!</v>
      </c>
      <c r="N56" s="73" t="e">
        <f>'[4]5.Bezpečnosť, právo a por.'!#REF!</f>
        <v>#REF!</v>
      </c>
      <c r="O56" s="75" t="e">
        <f>'[4]5.Bezpečnosť,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'[4]5.Bezpečnosť, právo a por.'!$H$5</f>
        <v>326718</v>
      </c>
      <c r="V56" s="73">
        <f>'[4]5.Bezpečnosť, právo a por.'!$I$5</f>
        <v>0</v>
      </c>
      <c r="W56" s="75">
        <f>'[4]5.Bezpečnosť,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'[4]5.Bezpečnosť,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'[4]5.Bezpečnosť, právo a por.'!#REF!</f>
        <v>#REF!</v>
      </c>
      <c r="L57" s="76" t="e">
        <f t="shared" si="27"/>
        <v>#REF!</v>
      </c>
      <c r="M57" s="73" t="e">
        <f>'[4]5.Bezpečnosť, právo a por.'!#REF!</f>
        <v>#REF!</v>
      </c>
      <c r="N57" s="73" t="e">
        <f>'[4]5.Bezpečnosť, právo a por.'!#REF!</f>
        <v>#REF!</v>
      </c>
      <c r="O57" s="75" t="e">
        <f>'[4]5.Bezpečnosť,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'[4]5.Bezpečnosť, právo a por.'!$H$49</f>
        <v>67861</v>
      </c>
      <c r="V57" s="73">
        <f>'[4]5.Bezpečnosť, právo a por.'!$I$49</f>
        <v>3050</v>
      </c>
      <c r="W57" s="75">
        <f>'[4]5.Bezpečnosť,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'[4]5.Bezpečnosť,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'[4]5.Bezpečnosť, právo a por.'!#REF!</f>
        <v>#REF!</v>
      </c>
      <c r="L58" s="76" t="e">
        <f t="shared" si="27"/>
        <v>#REF!</v>
      </c>
      <c r="M58" s="73" t="e">
        <f>'[4]5.Bezpečnosť, právo a por.'!#REF!</f>
        <v>#REF!</v>
      </c>
      <c r="N58" s="73" t="e">
        <f>'[4]5.Bezpečnosť, právo a por.'!#REF!</f>
        <v>#REF!</v>
      </c>
      <c r="O58" s="75" t="e">
        <f>'[4]5.Bezpečnosť,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'[4]5.Bezpečnosť, právo a por.'!$H$66</f>
        <v>36887</v>
      </c>
      <c r="V58" s="73">
        <f>'[4]5.Bezpečnosť, právo a por.'!$I$65</f>
        <v>3050</v>
      </c>
      <c r="W58" s="75" t="e">
        <f>'[4]5.Bezpečnosť,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'[4]5.Bezpečnosť, právo a por.'!#REF!</f>
        <v>#REF!</v>
      </c>
      <c r="G59" s="74" t="e">
        <f>'[4]5.Bezpečnosť, právo a por.'!#REF!</f>
        <v>#REF!</v>
      </c>
      <c r="H59" s="72" t="e">
        <f t="shared" si="26"/>
        <v>#REF!</v>
      </c>
      <c r="I59" s="73">
        <v>40098.5</v>
      </c>
      <c r="J59" s="73" t="e">
        <f>'[4]5.Bezpečnosť, právo a por.'!#REF!</f>
        <v>#REF!</v>
      </c>
      <c r="K59" s="75" t="e">
        <f>'[4]5.Bezpečnosť, právo a por.'!#REF!</f>
        <v>#REF!</v>
      </c>
      <c r="L59" s="76" t="e">
        <f t="shared" si="27"/>
        <v>#REF!</v>
      </c>
      <c r="M59" s="73" t="e">
        <f>'[4]5.Bezpečnosť, právo a por.'!#REF!</f>
        <v>#REF!</v>
      </c>
      <c r="N59" s="73" t="e">
        <f>'[4]5.Bezpečnosť, právo a por.'!#REF!</f>
        <v>#REF!</v>
      </c>
      <c r="O59" s="75" t="e">
        <f>'[4]5.Bezpečnosť,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'[4]5.Bezpečnosť, právo a por.'!$H$69</f>
        <v>37517</v>
      </c>
      <c r="V59" s="73">
        <f>'[4]5.Bezpečnosť, právo a por.'!$I$69</f>
        <v>0</v>
      </c>
      <c r="W59" s="75" t="e">
        <f>'[4]5.Bezpečnosť,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'[4]5.Bezpečnosť, právo a por.'!#REF!</f>
        <v>#REF!</v>
      </c>
      <c r="F60" s="172" t="e">
        <f>'[4]5.Bezpečnosť, právo a por.'!#REF!</f>
        <v>#REF!</v>
      </c>
      <c r="G60" s="173" t="e">
        <f>'[4]5.Bezpečnosť,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'[4]5.Bezpečnosť, právo a por.'!#REF!</f>
        <v>#REF!</v>
      </c>
      <c r="L60" s="175" t="e">
        <f t="shared" si="27"/>
        <v>#REF!</v>
      </c>
      <c r="M60" s="172" t="e">
        <f>'[4]5.Bezpečnosť, právo a por.'!#REF!</f>
        <v>#REF!</v>
      </c>
      <c r="N60" s="172" t="e">
        <f>'[4]5.Bezpečnosť, právo a por.'!#REF!</f>
        <v>#REF!</v>
      </c>
      <c r="O60" s="174" t="e">
        <f>'[4]5.Bezpečnosť,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'[4]5.Bezpečnosť, právo a por.'!$H$77</f>
        <v>0</v>
      </c>
      <c r="V60" s="172"/>
      <c r="W60" s="174" t="e">
        <f>'[4]5.Bezpečnosť,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'[4]5.Bezpečnosť, právo a por.'!#REF!</f>
        <v>#REF!</v>
      </c>
      <c r="G61" s="173" t="e">
        <f>'[4]5.Bezpečnosť,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'[4]5.Bezpečnosť, právo a por.'!#REF!</f>
        <v>#REF!</v>
      </c>
      <c r="L61" s="175" t="e">
        <f t="shared" si="27"/>
        <v>#REF!</v>
      </c>
      <c r="M61" s="172" t="e">
        <f>'[4]5.Bezpečnosť, právo a por.'!#REF!</f>
        <v>#REF!</v>
      </c>
      <c r="N61" s="172" t="e">
        <f>'[4]5.Bezpečnosť, právo a por.'!#REF!</f>
        <v>#REF!</v>
      </c>
      <c r="O61" s="174" t="e">
        <f>'[4]5.Bezpečnosť,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'[4]5.Bezpečnosť, právo a por.'!$H$79</f>
        <v>1650</v>
      </c>
      <c r="V61" s="172" t="e">
        <f>'[4]5.Bezpečnosť, právo a por.'!$I$78</f>
        <v>#REF!</v>
      </c>
      <c r="W61" s="174" t="e">
        <f>'[4]5.Bezpečnosť,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'[4]5.Bezpečnosť, právo a por.'!#REF!</f>
        <v>#REF!</v>
      </c>
      <c r="G63" s="74" t="e">
        <f>'[4]5.Bezpečnosť,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'[4]5.Bezpečnosť, právo a por.'!#REF!</f>
        <v>#REF!</v>
      </c>
      <c r="L63" s="76" t="e">
        <f>SUM(M63:O63)</f>
        <v>#REF!</v>
      </c>
      <c r="M63" s="73" t="e">
        <f>'[4]5.Bezpečnosť, právo a por.'!#REF!</f>
        <v>#REF!</v>
      </c>
      <c r="N63" s="73" t="e">
        <f>'[4]5.Bezpečnosť, právo a por.'!#REF!</f>
        <v>#REF!</v>
      </c>
      <c r="O63" s="75" t="e">
        <f>'[4]5.Bezpečnosť,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'[4]5.Bezpečnosť, právo a por.'!$H$95</f>
        <v>187042</v>
      </c>
      <c r="V63" s="73">
        <f>'[4]5.Bezpečnosť, právo a por.'!$I$94</f>
        <v>64679</v>
      </c>
      <c r="W63" s="75">
        <f>'[4]5.Bezpečnosť,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'[4]5.Bezpečnosť, právo a por.'!#REF!</f>
        <v>#REF!</v>
      </c>
      <c r="G64" s="74" t="e">
        <f>'[4]5.Bezpečnosť,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'[4]5.Bezpečnosť, právo a por.'!#REF!</f>
        <v>#REF!</v>
      </c>
      <c r="L64" s="76" t="e">
        <f>SUM(M64:O64)</f>
        <v>#REF!</v>
      </c>
      <c r="M64" s="73">
        <v>42145</v>
      </c>
      <c r="N64" s="73" t="e">
        <f>'[4]5.Bezpečnosť, právo a por.'!#REF!</f>
        <v>#REF!</v>
      </c>
      <c r="O64" s="75" t="e">
        <f>'[4]5.Bezpečnosť,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'[4]5.Bezpečnosť, právo a por.'!$H$101</f>
        <v>74900</v>
      </c>
      <c r="V64" s="73"/>
      <c r="W64" s="75" t="e">
        <f>'[4]5.Bezpečnosť,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'[4]5.Bezpečnosť, právo a por.'!#REF!</f>
        <v>#REF!</v>
      </c>
      <c r="G65" s="74" t="e">
        <f>'[4]5.Bezpečnosť,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'[4]5.Bezpečnosť, právo a por.'!#REF!</f>
        <v>#REF!</v>
      </c>
      <c r="L65" s="76" t="e">
        <f>SUM(M65:O65)</f>
        <v>#REF!</v>
      </c>
      <c r="M65" s="73" t="e">
        <f>'[4]5.Bezpečnosť, právo a por.'!#REF!</f>
        <v>#REF!</v>
      </c>
      <c r="N65" s="73" t="e">
        <f>'[4]5.Bezpečnosť, právo a por.'!#REF!</f>
        <v>#REF!</v>
      </c>
      <c r="O65" s="75" t="e">
        <f>'[4]5.Bezpečnosť,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'[4]5.Bezpečnosť, právo a por.'!$H$103</f>
        <v>#REF!</v>
      </c>
      <c r="V65" s="73">
        <f>'[4]5.Bezpečnosť, právo a por.'!$I$102</f>
        <v>0</v>
      </c>
      <c r="W65" s="75">
        <f>'[4]5.Bezpečnosť,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'[4]5.Bezpečnosť, právo a por.'!#REF!</f>
        <v>#REF!</v>
      </c>
      <c r="G66" s="74" t="e">
        <f>'[4]5.Bezpečnosť,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'[4]5.Bezpečnosť, právo a por.'!#REF!</f>
        <v>#REF!</v>
      </c>
      <c r="L66" s="76" t="e">
        <f>SUM(M66:O66)</f>
        <v>#REF!</v>
      </c>
      <c r="M66" s="73">
        <v>0</v>
      </c>
      <c r="N66" s="73" t="e">
        <f>'[4]5.Bezpečnosť, právo a por.'!#REF!</f>
        <v>#REF!</v>
      </c>
      <c r="O66" s="75" t="e">
        <f>'[4]5.Bezpečnosť,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'[4]5.Bezpečnosť, právo a por.'!$H$106</f>
        <v>#REF!</v>
      </c>
      <c r="V66" s="73">
        <f>'[4]5.Bezpečnosť, právo a por.'!$I$105</f>
        <v>0</v>
      </c>
      <c r="W66" s="75">
        <f>'[4]5.Bezpečnosť,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'[4]5.Bezpečnosť, právo a por.'!#REF!</f>
        <v>#REF!</v>
      </c>
      <c r="G68" s="74" t="e">
        <f>'[4]5.Bezpečnosť, právo a por.'!#REF!</f>
        <v>#REF!</v>
      </c>
      <c r="H68" s="72" t="e">
        <f>SUM(I68:K68)</f>
        <v>#REF!</v>
      </c>
      <c r="I68" s="73" t="e">
        <f>'[4]5.Bezpečnosť, právo a por.'!#REF!</f>
        <v>#REF!</v>
      </c>
      <c r="J68" s="73">
        <v>0</v>
      </c>
      <c r="K68" s="75" t="e">
        <f>'[4]5.Bezpečnosť, právo a por.'!#REF!</f>
        <v>#REF!</v>
      </c>
      <c r="L68" s="76" t="e">
        <f>SUM(M68:O68)</f>
        <v>#REF!</v>
      </c>
      <c r="M68" s="73" t="e">
        <f>'[4]5.Bezpečnosť, právo a por.'!#REF!</f>
        <v>#REF!</v>
      </c>
      <c r="N68" s="73" t="e">
        <f>'[4]5.Bezpečnosť, právo a por.'!#REF!</f>
        <v>#REF!</v>
      </c>
      <c r="O68" s="75" t="e">
        <f>'[4]5.Bezpečnosť,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'[4]5.Bezpečnosť, právo a por.'!$H$110</f>
        <v>1300</v>
      </c>
      <c r="V68" s="73">
        <f>'[4]5.Bezpečnosť, právo a por.'!$I$109</f>
        <v>0</v>
      </c>
      <c r="W68" s="75">
        <f>'[4]5.Bezpečnosť,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'[4]5.Bezpečnosť, právo a por.'!#REF!</f>
        <v>#REF!</v>
      </c>
      <c r="G69" s="81" t="e">
        <f>'[4]5.Bezpečnosť,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'[4]5.Bezpečnosť, právo a por.'!#REF!</f>
        <v>#REF!</v>
      </c>
      <c r="L69" s="89" t="e">
        <f>SUM(M69:O69)</f>
        <v>#REF!</v>
      </c>
      <c r="M69" s="80" t="e">
        <f>'[4]5.Bezpečnosť, právo a por.'!#REF!</f>
        <v>#REF!</v>
      </c>
      <c r="N69" s="80" t="e">
        <f>'[4]5.Bezpečnosť, právo a por.'!#REF!</f>
        <v>#REF!</v>
      </c>
      <c r="O69" s="90" t="e">
        <f>'[4]5.Bezpečnosť,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'[4]5.Bezpečnosť, právo a por.'!$H$112</f>
        <v>#REF!</v>
      </c>
      <c r="V69" s="80">
        <f>'[4]5.Bezpečnosť, právo a por.'!$I$111</f>
        <v>0</v>
      </c>
      <c r="W69" s="90">
        <f>'[4]5.Bezpečnosť,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'[4]6.Odpadové hospodárstvo'!#REF!</f>
        <v>#REF!</v>
      </c>
      <c r="G72" s="74" t="e">
        <f>'[4]6.Odpadové hospodárstvo'!#REF!</f>
        <v>#REF!</v>
      </c>
      <c r="H72" s="72" t="e">
        <f>SUM(I72:K72)</f>
        <v>#REF!</v>
      </c>
      <c r="I72" s="73">
        <v>265</v>
      </c>
      <c r="J72" s="73" t="e">
        <f>'[4]6.Odpadové hospodárstvo'!#REF!</f>
        <v>#REF!</v>
      </c>
      <c r="K72" s="75" t="e">
        <f>'[4]6.Odpadové hospodárstvo'!#REF!</f>
        <v>#REF!</v>
      </c>
      <c r="L72" s="76" t="e">
        <f>SUM(M72:O72)</f>
        <v>#REF!</v>
      </c>
      <c r="M72" s="73" t="e">
        <f>'[4]6.Odpadové hospodárstvo'!#REF!</f>
        <v>#REF!</v>
      </c>
      <c r="N72" s="73" t="e">
        <f>'[4]6.Odpadové hospodárstvo'!#REF!</f>
        <v>#REF!</v>
      </c>
      <c r="O72" s="75" t="e">
        <f>'[4]6.Odpadové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'[4]6.Odpadové hospodárstvo'!$H$5</f>
        <v>850</v>
      </c>
      <c r="V72" s="73">
        <f>'[4]6.Odpadové hospodárstvo'!$I$5</f>
        <v>5200</v>
      </c>
      <c r="W72" s="75">
        <f>'[4]6.Odpadové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'[4]6.Odpadové hospodárstvo'!#REF!</f>
        <v>#REF!</v>
      </c>
      <c r="G73" s="74" t="e">
        <f>'[4]6.Odpadové hospodárstvo'!#REF!</f>
        <v>#REF!</v>
      </c>
      <c r="H73" s="72" t="e">
        <f>SUM(I73:K73)</f>
        <v>#REF!</v>
      </c>
      <c r="I73" s="73">
        <v>514242</v>
      </c>
      <c r="J73" s="73" t="e">
        <f>'[4]6.Odpadové hospodárstvo'!#REF!</f>
        <v>#REF!</v>
      </c>
      <c r="K73" s="75" t="e">
        <f>'[4]6.Odpadové hospodárstvo'!#REF!</f>
        <v>#REF!</v>
      </c>
      <c r="L73" s="76" t="e">
        <f>SUM(M73:O73)</f>
        <v>#REF!</v>
      </c>
      <c r="M73" s="73" t="e">
        <f>'[4]6.Odpadové hospodárstvo'!#REF!</f>
        <v>#REF!</v>
      </c>
      <c r="N73" s="73" t="e">
        <f>'[4]6.Odpadové hospodárstvo'!#REF!</f>
        <v>#REF!</v>
      </c>
      <c r="O73" s="75" t="e">
        <f>'[4]6.Odpadové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'[4]6.Odpadové hospodárstvo'!$H$10</f>
        <v>558000</v>
      </c>
      <c r="V73" s="73">
        <f>'[4]6.Odpadové hospodárstvo'!$I$10</f>
        <v>0</v>
      </c>
      <c r="W73" s="75">
        <f>'[4]6.Odpadové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'[4]6.Odpadové hospodárstvo'!#REF!</f>
        <v>#REF!</v>
      </c>
      <c r="G75" s="74" t="e">
        <f>'[4]6.Odpadové hospodárstvo'!#REF!</f>
        <v>#REF!</v>
      </c>
      <c r="H75" s="72" t="e">
        <f>SUM(I75:K75)</f>
        <v>#REF!</v>
      </c>
      <c r="I75" s="73">
        <v>68842</v>
      </c>
      <c r="J75" s="73" t="e">
        <f>'[4]6.Odpadové hospodárstvo'!#REF!</f>
        <v>#REF!</v>
      </c>
      <c r="K75" s="75" t="e">
        <f>'[4]6.Odpadové hospodárstvo'!#REF!</f>
        <v>#REF!</v>
      </c>
      <c r="L75" s="76" t="e">
        <f>SUM(M75:O75)</f>
        <v>#REF!</v>
      </c>
      <c r="M75" s="73" t="e">
        <f>'[4]6.Odpadové hospodárstvo'!#REF!</f>
        <v>#REF!</v>
      </c>
      <c r="N75" s="73" t="e">
        <f>'[4]6.Odpadové hospodárstvo'!#REF!</f>
        <v>#REF!</v>
      </c>
      <c r="O75" s="75" t="e">
        <f>'[4]6.Odpadové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'[4]6.Odpadové hospodárstvo'!$H$15</f>
        <v>86950</v>
      </c>
      <c r="V75" s="73">
        <f>'[4]6.Odpadové hospodárstvo'!$I$15</f>
        <v>0</v>
      </c>
      <c r="W75" s="75">
        <f>'[4]6.Odpadové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'[4]6.Odpadové hospodárstvo'!#REF!</f>
        <v>#REF!</v>
      </c>
      <c r="G76" s="74" t="e">
        <f>'[4]6.Odpadové hospodárstvo'!#REF!</f>
        <v>#REF!</v>
      </c>
      <c r="H76" s="72" t="e">
        <f>SUM(I76:K76)</f>
        <v>#REF!</v>
      </c>
      <c r="I76" s="73">
        <v>9921</v>
      </c>
      <c r="J76" s="73" t="e">
        <f>'[4]6.Odpadové hospodárstvo'!#REF!</f>
        <v>#REF!</v>
      </c>
      <c r="K76" s="75" t="e">
        <f>'[4]6.Odpadové hospodárstvo'!#REF!</f>
        <v>#REF!</v>
      </c>
      <c r="L76" s="76" t="e">
        <f>SUM(M76:O76)</f>
        <v>#REF!</v>
      </c>
      <c r="M76" s="73" t="e">
        <f>'[4]6.Odpadové hospodárstvo'!#REF!</f>
        <v>#REF!</v>
      </c>
      <c r="N76" s="73" t="e">
        <f>'[4]6.Odpadové hospodárstvo'!#REF!</f>
        <v>#REF!</v>
      </c>
      <c r="O76" s="75" t="e">
        <f>'[4]6.Odpadové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'[4]6.Odpadové hospodárstvo'!$H$18</f>
        <v>13700</v>
      </c>
      <c r="V76" s="73">
        <f>'[4]6.Odpadové hospodárstvo'!$I$18</f>
        <v>0</v>
      </c>
      <c r="W76" s="75">
        <f>'[4]6.Odpadové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'[4]6.Odpadové hospodárstvo'!#REF!</f>
        <v>#REF!</v>
      </c>
      <c r="H77" s="186" t="e">
        <f>SUM(I77:K77)</f>
        <v>#REF!</v>
      </c>
      <c r="I77" s="181">
        <v>73327</v>
      </c>
      <c r="J77" s="181" t="e">
        <f>'[4]6.Odpadové hospodárstvo'!#REF!</f>
        <v>#REF!</v>
      </c>
      <c r="K77" s="182" t="e">
        <f>'[4]6.Odpadové hospodárstvo'!#REF!</f>
        <v>#REF!</v>
      </c>
      <c r="L77" s="187" t="e">
        <f>SUM(M77:O77)</f>
        <v>#REF!</v>
      </c>
      <c r="M77" s="179" t="e">
        <f>'[4]6.Odpadové hospodárstvo'!#REF!</f>
        <v>#REF!</v>
      </c>
      <c r="N77" s="179" t="e">
        <f>'[4]6.Odpadové hospodárstvo'!#REF!</f>
        <v>#REF!</v>
      </c>
      <c r="O77" s="188" t="e">
        <f>'[4]6.Odpadové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'[4]6.Odpadové hospodárstvo'!$H$20</f>
        <v>84350</v>
      </c>
      <c r="V77" s="179">
        <f>'[4]6.Odpadové hospodárstvo'!$I$20</f>
        <v>0</v>
      </c>
      <c r="W77" s="188">
        <f>'[4]6.Odpadové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'[4]7.Komunikácie'!#REF!</f>
        <v>#REF!</v>
      </c>
      <c r="F80" s="73" t="e">
        <f>'[4]7.Komunikácie'!#REF!</f>
        <v>#REF!</v>
      </c>
      <c r="G80" s="74" t="e">
        <f>'[4]7.Komunikácie'!#REF!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'[4]7.Komunikácie'!#REF!</f>
        <v>#REF!</v>
      </c>
      <c r="N80" s="73" t="e">
        <f>'[4]7.Komunikácie'!#REF!</f>
        <v>#REF!</v>
      </c>
      <c r="O80" s="75" t="e">
        <f>'[4]7.Komunikácie'!#REF!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'[4]7.Komunikácie'!$H$5</f>
        <v>0</v>
      </c>
      <c r="V80" s="73">
        <f>'[4]7.Komunikácie'!$I$5</f>
        <v>0</v>
      </c>
      <c r="W80" s="75">
        <f>'[4]7.Komunikácie'!$J$5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'[4]7.Komunikácie'!#REF!</f>
        <v>#REF!</v>
      </c>
      <c r="N81" s="73" t="e">
        <f>'[4]7.Komunikácie'!#REF!</f>
        <v>#REF!</v>
      </c>
      <c r="O81" s="75" t="e">
        <f>'[4]7.Komunikácie'!#REF!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'[4]7.Komunikácie'!$H$7</f>
        <v>91205</v>
      </c>
      <c r="V81" s="73">
        <f>'[4]7.Komunikácie'!$I$7</f>
        <v>8850</v>
      </c>
      <c r="W81" s="75">
        <f>'[4]7.Komunikácie'!$J$7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'[4]7.Komunikácie'!#REF!</f>
        <v>#REF!</v>
      </c>
      <c r="G82" s="74" t="e">
        <f>'[4]7.Komunikácie'!#REF!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'[4]7.Komunikácie'!#REF!</f>
        <v>#REF!</v>
      </c>
      <c r="N82" s="73" t="e">
        <f>'[4]7.Komunikácie'!#REF!</f>
        <v>#REF!</v>
      </c>
      <c r="O82" s="75" t="e">
        <f>'[4]7.Komunikácie'!#REF!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'[4]7.Komunikácie'!$H$21</f>
        <v>79000</v>
      </c>
      <c r="V82" s="73">
        <f>'[4]7.Komunikácie'!$I$21</f>
        <v>0</v>
      </c>
      <c r="W82" s="75">
        <f>'[4]7.Komunikácie'!$J$21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'[4]7.Komunikácie'!#REF!</f>
        <v>#REF!</v>
      </c>
      <c r="G83" s="74" t="e">
        <f>'[4]7.Komunikácie'!#REF!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'[4]7.Komunikácie'!#REF!</f>
        <v>#REF!</v>
      </c>
      <c r="N83" s="73" t="e">
        <f>'[4]7.Komunikácie'!#REF!</f>
        <v>#REF!</v>
      </c>
      <c r="O83" s="75" t="e">
        <f>'[4]7.Komunikácie'!#REF!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'[4]7.Komunikácie'!$H$24</f>
        <v>82000</v>
      </c>
      <c r="V83" s="73">
        <f>'[4]7.Komunikácie'!$I$24</f>
        <v>0</v>
      </c>
      <c r="W83" s="75">
        <f>'[4]7.Komunikácie'!$J$24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'[4]7.Komunikácie'!#REF!</f>
        <v>#REF!</v>
      </c>
      <c r="G84" s="74" t="e">
        <f>'[4]7.Komunikácie'!#REF!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'[4]7.Komunikácie'!#REF!</f>
        <v>#REF!</v>
      </c>
      <c r="N84" s="73" t="e">
        <f>'[4]7.Komunikácie'!#REF!</f>
        <v>#REF!</v>
      </c>
      <c r="O84" s="75" t="e">
        <f>'[4]7.Komunikácie'!#REF!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'[4]7.Komunikácie'!$H$27</f>
        <v>96150</v>
      </c>
      <c r="V84" s="73">
        <f>'[4]7.Komunikácie'!$I$27</f>
        <v>0</v>
      </c>
      <c r="W84" s="75">
        <f>'[4]7.Komunikácie'!$J$27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'[4]7.Komunikácie'!#REF!</f>
        <v>#REF!</v>
      </c>
      <c r="G85" s="74" t="e">
        <f>'[4]7.Komunikácie'!#REF!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'[4]7.Komunikácie'!#REF!</f>
        <v>#REF!</v>
      </c>
      <c r="O85" s="75" t="e">
        <f>'[4]7.Komunikácie'!#REF!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'[4]7.Komunikácie'!$H$31</f>
        <v>10350</v>
      </c>
      <c r="V85" s="73">
        <f>'[4]7.Komunikácie'!$I$31</f>
        <v>0</v>
      </c>
      <c r="W85" s="75">
        <f>'[4]7.Komunikácie'!$J$31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'[4]7.Komunikácie'!#REF!</f>
        <v>#REF!</v>
      </c>
      <c r="G86" s="74" t="e">
        <f>'[4]7.Komunikácie'!#REF!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'[4]7.Komunikácie'!#REF!</f>
        <v>#REF!</v>
      </c>
      <c r="O86" s="75" t="e">
        <f>'[4]7.Komunikácie'!#REF!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'[4]7.Komunikácie'!$H$35</f>
        <v>10000</v>
      </c>
      <c r="V86" s="73">
        <f>'[4]7.Komunikácie'!$I$35</f>
        <v>0</v>
      </c>
      <c r="W86" s="75">
        <f>'[4]7.Komunikácie'!$J$35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'[4]7.Komunikácie'!#REF!</f>
        <v>#REF!</v>
      </c>
      <c r="F88" s="73">
        <v>68101</v>
      </c>
      <c r="G88" s="74" t="e">
        <f>'[4]7.Komunikácie'!#REF!</f>
        <v>#REF!</v>
      </c>
      <c r="H88" s="72" t="e">
        <f>SUM(I88:K88)</f>
        <v>#REF!</v>
      </c>
      <c r="I88" s="73" t="e">
        <f>'[4]7.Komunikácie'!#REF!</f>
        <v>#REF!</v>
      </c>
      <c r="J88" s="73" t="e">
        <f>'[4]7.Komunikácie'!#REF!</f>
        <v>#REF!</v>
      </c>
      <c r="K88" s="75" t="e">
        <f>'[4]7.Komunikácie'!#REF!</f>
        <v>#REF!</v>
      </c>
      <c r="L88" s="76" t="e">
        <f>SUM(M88:O88)</f>
        <v>#REF!</v>
      </c>
      <c r="M88" s="73" t="e">
        <f>'[4]7.Komunikácie'!#REF!</f>
        <v>#REF!</v>
      </c>
      <c r="N88" s="73" t="e">
        <f>'[4]7.Komunikácie'!#REF!</f>
        <v>#REF!</v>
      </c>
      <c r="O88" s="75" t="e">
        <f>'[4]7.Komunikácie'!#REF!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'[4]7.Komunikácie'!$H$39</f>
        <v>0</v>
      </c>
      <c r="V88" s="73">
        <f>'[4]7.Komunikácie'!$I$39</f>
        <v>120000</v>
      </c>
      <c r="W88" s="75">
        <f>'[4]7.Komunikácie'!$J$39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'[4]7.Komunikácie'!#REF!</f>
        <v>#REF!</v>
      </c>
      <c r="G89" s="74" t="e">
        <f>'[4]7.Komunikácie'!#REF!</f>
        <v>#REF!</v>
      </c>
      <c r="H89" s="72" t="e">
        <f>SUM(I89:K89)</f>
        <v>#REF!</v>
      </c>
      <c r="I89" s="73" t="e">
        <f>'[4]7.Komunikácie'!#REF!</f>
        <v>#REF!</v>
      </c>
      <c r="J89" s="73" t="e">
        <f>'[4]7.Komunikácie'!#REF!</f>
        <v>#REF!</v>
      </c>
      <c r="K89" s="75" t="e">
        <f>'[4]7.Komunikácie'!#REF!</f>
        <v>#REF!</v>
      </c>
      <c r="L89" s="76" t="e">
        <f>SUM(M89:O89)</f>
        <v>#REF!</v>
      </c>
      <c r="M89" s="73">
        <v>8150</v>
      </c>
      <c r="N89" s="73" t="e">
        <f>'[4]7.Komunikácie'!#REF!</f>
        <v>#REF!</v>
      </c>
      <c r="O89" s="75" t="e">
        <f>'[4]7.Komunikácie'!#REF!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'[4]7.Komunikácie'!$H$41</f>
        <v>9000</v>
      </c>
      <c r="V89" s="73">
        <f>'[4]7.Komunikácie'!$I$41</f>
        <v>0</v>
      </c>
      <c r="W89" s="75">
        <f>'[4]7.Komunikácie'!$J$41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'[4]7.Komunikácie'!#REF!</f>
        <v>#REF!</v>
      </c>
      <c r="F91" s="73" t="e">
        <f>'[4]7.Komunikácie'!#REF!</f>
        <v>#REF!</v>
      </c>
      <c r="G91" s="74" t="e">
        <f>'[4]7.Komunikácie'!#REF!</f>
        <v>#REF!</v>
      </c>
      <c r="H91" s="72" t="e">
        <f>SUM(I91:K91)</f>
        <v>#REF!</v>
      </c>
      <c r="I91" s="73" t="e">
        <f>'[4]7.Komunikácie'!#REF!</f>
        <v>#REF!</v>
      </c>
      <c r="J91" s="73" t="e">
        <f>'[4]7.Komunikácie'!#REF!</f>
        <v>#REF!</v>
      </c>
      <c r="K91" s="75" t="e">
        <f>'[4]7.Komunikácie'!#REF!</f>
        <v>#REF!</v>
      </c>
      <c r="L91" s="76" t="e">
        <f>SUM(M91:O91)</f>
        <v>#REF!</v>
      </c>
      <c r="M91" s="73" t="e">
        <f>'[4]7.Komunikácie'!#REF!</f>
        <v>#REF!</v>
      </c>
      <c r="N91" s="73" t="e">
        <f>'[4]7.Komunikácie'!#REF!</f>
        <v>#REF!</v>
      </c>
      <c r="O91" s="75" t="e">
        <f>'[4]7.Komunikácie'!#REF!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'[4]7.Komunikácie'!$H$44</f>
        <v>0</v>
      </c>
      <c r="V91" s="73">
        <f>'[4]7.Komunikácie'!$I$44</f>
        <v>0</v>
      </c>
      <c r="W91" s="75">
        <f>'[4]7.Komunikácie'!$J$44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'[4]7.Komunikácie'!#REF!</f>
        <v>#REF!</v>
      </c>
      <c r="G92" s="81" t="e">
        <f>'[4]7.Komunikácie'!#REF!</f>
        <v>#REF!</v>
      </c>
      <c r="H92" s="88" t="e">
        <f>SUM(I92:K92)</f>
        <v>#REF!</v>
      </c>
      <c r="I92" s="82" t="e">
        <f>'[4]7.Komunikácie'!#REF!</f>
        <v>#REF!</v>
      </c>
      <c r="J92" s="82" t="e">
        <f>'[4]7.Komunikácie'!#REF!</f>
        <v>#REF!</v>
      </c>
      <c r="K92" s="83" t="e">
        <f>'[4]7.Komunikácie'!#REF!</f>
        <v>#REF!</v>
      </c>
      <c r="L92" s="89" t="e">
        <f>SUM(M92:O92)</f>
        <v>#REF!</v>
      </c>
      <c r="M92" s="80" t="e">
        <f>'[4]7.Komunikácie'!#REF!</f>
        <v>#REF!</v>
      </c>
      <c r="N92" s="80" t="e">
        <f>'[4]7.Komunikácie'!#REF!</f>
        <v>#REF!</v>
      </c>
      <c r="O92" s="90" t="e">
        <f>'[4]7.Komunikácie'!#REF!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'[4]7.Komunikácie'!$H$47</f>
        <v>0</v>
      </c>
      <c r="V92" s="80">
        <f>'[4]7.Komunikácie'!$I$47</f>
        <v>0</v>
      </c>
      <c r="W92" s="90">
        <f>'[4]7.Komunikácie'!$J$47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'[4]8.Doprava'!#REF!</f>
        <v>#REF!</v>
      </c>
      <c r="G94" s="173" t="e">
        <f>'[4]8.Doprava'!#REF!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'[4]8.Doprava'!#REF!</f>
        <v>#REF!</v>
      </c>
      <c r="N94" s="172" t="e">
        <f>'[4]8.Doprava'!#REF!</f>
        <v>#REF!</v>
      </c>
      <c r="O94" s="174" t="e">
        <f>'[4]8.Doprava'!#REF!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'[4]8.Doprava'!$H$4</f>
        <v>71000</v>
      </c>
      <c r="V94" s="172">
        <f>'[4]8.Doprava'!$I$4</f>
        <v>0</v>
      </c>
      <c r="W94" s="174">
        <f>'[4]8.Doprava'!$J$4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'[4]8.Doprava'!#REF!</f>
        <v>#REF!</v>
      </c>
      <c r="G96" s="81" t="e">
        <f>'[4]8.Doprava'!#REF!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'[4]8.Doprava'!#REF!</f>
        <v>#REF!</v>
      </c>
      <c r="N96" s="80" t="e">
        <f>'[4]8.Doprava'!#REF!</f>
        <v>#REF!</v>
      </c>
      <c r="O96" s="90" t="e">
        <f>'[4]8.Doprava'!#REF!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'[4]8.Doprava'!$H$7</f>
        <v>2850</v>
      </c>
      <c r="V96" s="80">
        <f>'[4]8.Doprava'!$I$7</f>
        <v>0</v>
      </c>
      <c r="W96" s="90">
        <f>'[4]8.Doprava'!$J$7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'[4]9. Vzdelávanie'!#REF!</f>
        <v>#REF!</v>
      </c>
      <c r="G98" s="173" t="e">
        <f>'[4]9.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'[4]9. Vzdelávanie'!#REF!</f>
        <v>#REF!</v>
      </c>
      <c r="N98" s="172" t="e">
        <f>'[4]9. Vzdelávanie'!#REF!</f>
        <v>#REF!</v>
      </c>
      <c r="O98" s="174" t="e">
        <f>'[4]9.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'[4]9. Vzdelávanie'!$H$4</f>
        <v>4292</v>
      </c>
      <c r="V98" s="172">
        <f>'[4]9. Vzdelávanie'!$I$4</f>
        <v>0</v>
      </c>
      <c r="W98" s="174">
        <f>'[4]9.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'[4]9. Vzdelávanie'!#REF!</f>
        <v>#REF!</v>
      </c>
      <c r="G100" s="74" t="e">
        <f>'[4]9.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'[4]9. Vzdelávanie'!#REF!</f>
        <v>#REF!</v>
      </c>
      <c r="N100" s="73" t="e">
        <f>'[4]9. Vzdelávanie'!#REF!</f>
        <v>#REF!</v>
      </c>
      <c r="O100" s="75" t="e">
        <f>'[4]9.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'[5]9. Vzdelávanie'!$Q$9</f>
        <v>1431</v>
      </c>
      <c r="V100" s="73" t="e">
        <f>'[4]9. Vzdelávanie'!$I$33</f>
        <v>#REF!</v>
      </c>
      <c r="W100" s="75" t="e">
        <f>'[4]9.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'[4]9. Vzdelávanie'!#REF!</f>
        <v>#REF!</v>
      </c>
      <c r="G101" s="74" t="e">
        <f>'[4]9.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'[4]9. Vzdelávanie'!#REF!</f>
        <v>#REF!</v>
      </c>
      <c r="N101" s="73" t="e">
        <f>'[4]9. Vzdelávanie'!#REF!</f>
        <v>#REF!</v>
      </c>
      <c r="O101" s="75" t="e">
        <f>'[4]9.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'[5]9. Vzdelávanie'!$Q$18</f>
        <v>1479615</v>
      </c>
      <c r="V101" s="73" t="e">
        <f>'[4]9. Vzdelávanie'!$I$34</f>
        <v>#REF!</v>
      </c>
      <c r="W101" s="75" t="e">
        <f>'[4]9.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'[4]9.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'[4]9. Vzdelávanie'!#REF!</f>
        <v>#REF!</v>
      </c>
      <c r="N102" s="73" t="e">
        <f>'[4]9. Vzdelávanie'!#REF!</f>
        <v>#REF!</v>
      </c>
      <c r="O102" s="75" t="e">
        <f>'[4]9.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'[5]9. Vzdelávanie'!$Q$19</f>
        <v>147030</v>
      </c>
      <c r="V102" s="73">
        <f>'[4]9. Vzdelávanie'!$I$35</f>
        <v>0</v>
      </c>
      <c r="W102" s="75">
        <f>'[4]9.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'[4]9. Vzdelávanie'!#REF!</f>
        <v>#REF!</v>
      </c>
      <c r="F103" s="73" t="e">
        <f>'[4]9. Vzdelávanie'!#REF!</f>
        <v>#REF!</v>
      </c>
      <c r="G103" s="74" t="e">
        <f>'[4]9.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'[4]9. Vzdelávanie'!#REF!</f>
        <v>#REF!</v>
      </c>
      <c r="N103" s="73" t="e">
        <f>'[4]9. Vzdelávanie'!#REF!</f>
        <v>#REF!</v>
      </c>
      <c r="O103" s="75" t="e">
        <f>'[4]9.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'[4]9. Vzdelávanie'!$H$38</f>
        <v>0</v>
      </c>
      <c r="V103" s="73">
        <f>'[4]9. Vzdelávanie'!$I$38</f>
        <v>0</v>
      </c>
      <c r="W103" s="75" t="e">
        <f>'[4]9.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'[4]9. Vzdelávanie'!#REF!</f>
        <v>#REF!</v>
      </c>
      <c r="G104" s="74" t="e">
        <f>'[4]9.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'[4]9. Vzdelávanie'!#REF!</f>
        <v>#REF!</v>
      </c>
      <c r="N104" s="73" t="e">
        <f>'[4]9. Vzdelávanie'!#REF!</f>
        <v>#REF!</v>
      </c>
      <c r="O104" s="75" t="e">
        <f>'[4]9.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'[5]9. Vzdelávanie'!#REF!</f>
        <v>#REF!</v>
      </c>
      <c r="V104" s="73" t="e">
        <f>'[4]9. Vzdelávanie'!$I$39</f>
        <v>#REF!</v>
      </c>
      <c r="W104" s="75" t="e">
        <f>'[4]9.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'[4]9.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'[4]9. Vzdelávanie'!#REF!</f>
        <v>#REF!</v>
      </c>
      <c r="N105" s="73" t="e">
        <f>'[4]9. Vzdelávanie'!#REF!</f>
        <v>#REF!</v>
      </c>
      <c r="O105" s="75" t="e">
        <f>'[4]9.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'[5]9. Vzdelávanie'!$Q$22</f>
        <v>84028</v>
      </c>
      <c r="V105" s="73">
        <f>'[4]9. Vzdelávanie'!$I$40</f>
        <v>0</v>
      </c>
      <c r="W105" s="75">
        <f>'[4]9.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'[4]9.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'[4]9. Vzdelávanie'!#REF!</f>
        <v>#REF!</v>
      </c>
      <c r="N106" s="73" t="e">
        <f>'[4]9. Vzdelávanie'!#REF!</f>
        <v>#REF!</v>
      </c>
      <c r="O106" s="75" t="e">
        <f>'[4]9.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'[5]9. Vzdelávanie'!#REF!</f>
        <v>#REF!</v>
      </c>
      <c r="V106" s="73" t="e">
        <f>'[4]9. Vzdelávanie'!$I$43</f>
        <v>#REF!</v>
      </c>
      <c r="W106" s="75" t="e">
        <f>'[4]9.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'[4]9. Vzdelávanie'!#REF!</f>
        <v>#REF!</v>
      </c>
      <c r="G108" s="74" t="e">
        <f>'[4]9.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'[4]9. Vzdelávanie'!#REF!</f>
        <v>#REF!</v>
      </c>
      <c r="N108" s="73" t="e">
        <f>'[4]9. Vzdelávanie'!#REF!</f>
        <v>#REF!</v>
      </c>
      <c r="O108" s="75" t="e">
        <f>'[4]9.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'[5]9. Vzdelávanie'!$Q$25</f>
        <v>185514</v>
      </c>
      <c r="V108" s="73" t="e">
        <f>'[4]9. Vzdelávanie'!$I$46</f>
        <v>#REF!</v>
      </c>
      <c r="W108" s="75" t="e">
        <f>'[4]9.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'[4]9.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'[4]9. Vzdelávanie'!#REF!</f>
        <v>#REF!</v>
      </c>
      <c r="N109" s="73" t="e">
        <f>'[4]9. Vzdelávanie'!#REF!</f>
        <v>#REF!</v>
      </c>
      <c r="O109" s="75" t="e">
        <f>'[4]9.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'[5]9. Vzdelávanie'!$Q$26</f>
        <v>33520</v>
      </c>
      <c r="V109" s="73" t="e">
        <f>'[4]9. Vzdelávanie'!$I$47</f>
        <v>#REF!</v>
      </c>
      <c r="W109" s="75" t="e">
        <f>'[4]9.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'[4]9. Vzdelávanie'!#REF!</f>
        <v>#REF!</v>
      </c>
      <c r="G110" s="74" t="e">
        <f>'[4]9.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'[4]9. Vzdelávanie'!#REF!</f>
        <v>#REF!</v>
      </c>
      <c r="N110" s="73" t="e">
        <f>'[4]9. Vzdelávanie'!#REF!</f>
        <v>#REF!</v>
      </c>
      <c r="O110" s="75" t="e">
        <f>'[4]9.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'[5]9. Vzdelávanie'!$Q$27</f>
        <v>3786847</v>
      </c>
      <c r="V110" s="73">
        <f>'[4]9. Vzdelávanie'!$I$48</f>
        <v>0</v>
      </c>
      <c r="W110" s="75">
        <f>'[4]9.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'[4]9.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'[4]9. Vzdelávanie'!#REF!</f>
        <v>#REF!</v>
      </c>
      <c r="N111" s="73" t="e">
        <f>'[4]9. Vzdelávanie'!#REF!</f>
        <v>#REF!</v>
      </c>
      <c r="O111" s="75" t="e">
        <f>'[4]9.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'[5]9. Vzdelávanie'!$Q$36</f>
        <v>0</v>
      </c>
      <c r="V111" s="73" t="e">
        <f>'[4]9. Vzdelávanie'!$I$53</f>
        <v>#REF!</v>
      </c>
      <c r="W111" s="75" t="e">
        <f>'[4]9.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'[4]9. Vzdelávanie'!#REF!</f>
        <v>#REF!</v>
      </c>
      <c r="G112" s="74" t="e">
        <f>'[4]9.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'[4]9. Vzdelávanie'!#REF!</f>
        <v>#REF!</v>
      </c>
      <c r="N112" s="73" t="e">
        <f>'[4]9. Vzdelávanie'!#REF!</f>
        <v>#REF!</v>
      </c>
      <c r="O112" s="75" t="e">
        <f>'[4]9.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'[5]9. Vzdelávanie'!$Q$37</f>
        <v>1055759</v>
      </c>
      <c r="V112" s="73">
        <f>'[4]9. Vzdelávanie'!$I$54</f>
        <v>4320</v>
      </c>
      <c r="W112" s="75" t="e">
        <f>'[4]9.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'[4]9. Vzdelávanie'!#REF!</f>
        <v>#REF!</v>
      </c>
      <c r="G113" s="74" t="e">
        <f>'[4]9.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'[4]9. Vzdelávanie'!#REF!</f>
        <v>#REF!</v>
      </c>
      <c r="N113" s="73" t="e">
        <f>'[4]9. Vzdelávanie'!#REF!</f>
        <v>#REF!</v>
      </c>
      <c r="O113" s="75" t="e">
        <f>'[4]9.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'[5]9. Vzdelávanie'!$Q$38</f>
        <v>0</v>
      </c>
      <c r="V113" s="73">
        <f>'[5]9. Vzdelávanie'!$R$38</f>
        <v>0</v>
      </c>
      <c r="W113" s="75">
        <f>'[4]9.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'[4]9. Vzdelávanie'!#REF!</f>
        <v>#REF!</v>
      </c>
      <c r="G115" s="74" t="e">
        <f>'[4]9.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'[4]9. Vzdelávanie'!#REF!</f>
        <v>#REF!</v>
      </c>
      <c r="N115" s="73" t="e">
        <f>'[4]9. Vzdelávanie'!#REF!</f>
        <v>#REF!</v>
      </c>
      <c r="O115" s="75" t="e">
        <f>'[4]9.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'[5]9. Vzdelávanie'!$Q$46</f>
        <v>403289</v>
      </c>
      <c r="V115" s="73" t="e">
        <f>'[4]9. Vzdelávanie'!$I$59</f>
        <v>#REF!</v>
      </c>
      <c r="W115" s="75" t="e">
        <f>'[4]9.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'[4]9. Vzdelávanie'!#REF!</f>
        <v>#REF!</v>
      </c>
      <c r="G116" s="74" t="e">
        <f>'[4]9.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'[4]9. Vzdelávanie'!#REF!</f>
        <v>#REF!</v>
      </c>
      <c r="N116" s="73" t="e">
        <f>'[4]9. Vzdelávanie'!#REF!</f>
        <v>#REF!</v>
      </c>
      <c r="O116" s="75" t="e">
        <f>'[4]9.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'[5]9. Vzdelávanie'!#REF!</f>
        <v>#REF!</v>
      </c>
      <c r="V116" s="73" t="e">
        <f>'[4]9. Vzdelávanie'!$I$60</f>
        <v>#REF!</v>
      </c>
      <c r="W116" s="75" t="e">
        <f>'[4]9.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'[4]9. Vzdelávanie'!#REF!</f>
        <v>#REF!</v>
      </c>
      <c r="G117" s="173" t="e">
        <f>'[4]9.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'[4]9. Vzdelávanie'!#REF!</f>
        <v>#REF!</v>
      </c>
      <c r="N117" s="172" t="e">
        <f>'[4]9. Vzdelávanie'!#REF!</f>
        <v>#REF!</v>
      </c>
      <c r="O117" s="174" t="e">
        <f>'[4]9.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'[4]9. Vzdelávanie'!$H$61</f>
        <v>212760</v>
      </c>
      <c r="V117" s="172">
        <f>'[4]9. Vzdelávanie'!$I$61</f>
        <v>0</v>
      </c>
      <c r="W117" s="174">
        <f>'[4]9.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'[4]9.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'[4]9. Vzdelávanie'!#REF!</f>
        <v>#REF!</v>
      </c>
      <c r="N118" s="172" t="e">
        <f>'[4]9. Vzdelávanie'!#REF!</f>
        <v>#REF!</v>
      </c>
      <c r="O118" s="174" t="e">
        <f>'[4]9.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'[4]9. Vzdelávanie'!$H$72</f>
        <v>243590</v>
      </c>
      <c r="V118" s="172" t="e">
        <f>'[4]9. Vzdelávanie'!$I$72</f>
        <v>#REF!</v>
      </c>
      <c r="W118" s="174" t="e">
        <f>'[4]9.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'[4]9. Vzdelávanie'!#REF!</f>
        <v>#REF!</v>
      </c>
      <c r="G119" s="180" t="e">
        <f>'[4]9.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'[4]9. Vzdelávanie'!#REF!</f>
        <v>#REF!</v>
      </c>
      <c r="N119" s="179" t="e">
        <f>'[4]9. Vzdelávanie'!#REF!</f>
        <v>#REF!</v>
      </c>
      <c r="O119" s="188" t="e">
        <f>'[4]9.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'[4]9. Vzdelávanie'!$H$73</f>
        <v>0</v>
      </c>
      <c r="V119" s="179">
        <f>'[4]9. Vzdelávanie'!$I$73</f>
        <v>0</v>
      </c>
      <c r="W119" s="188">
        <f>'[4]9.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'[4]10. Šport'!#REF!</f>
        <v>#REF!</v>
      </c>
      <c r="G121" s="173" t="e">
        <f>'[4]10.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'[4]10. Šport'!#REF!</f>
        <v>#REF!</v>
      </c>
      <c r="N121" s="172" t="e">
        <f>'[4]10. Šport'!#REF!</f>
        <v>#REF!</v>
      </c>
      <c r="O121" s="174" t="e">
        <f>'[4]10.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'[4]10. Šport'!$H$4</f>
        <v>500</v>
      </c>
      <c r="V121" s="172">
        <f>'[4]10. Šport'!$I$4</f>
        <v>0</v>
      </c>
      <c r="W121" s="174">
        <f>'[4]10.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'[4]10. Šport'!#REF!</f>
        <v>#REF!</v>
      </c>
      <c r="G123" s="74" t="e">
        <f>'[4]10.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'[4]10. Šport'!#REF!</f>
        <v>#REF!</v>
      </c>
      <c r="N123" s="73" t="e">
        <f>'[4]10. Šport'!#REF!</f>
        <v>#REF!</v>
      </c>
      <c r="O123" s="75" t="e">
        <f>'[4]10.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'[4]10. Šport'!$H$9</f>
        <v>42170</v>
      </c>
      <c r="V123" s="73">
        <f>'[4]10. Šport'!$I$9</f>
        <v>0</v>
      </c>
      <c r="W123" s="75">
        <f>'[4]10.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'[4]10. Šport'!#REF!</f>
        <v>#REF!</v>
      </c>
      <c r="H124" s="72" t="e">
        <f t="shared" si="59"/>
        <v>#REF!</v>
      </c>
      <c r="I124" s="73">
        <v>27121</v>
      </c>
      <c r="J124" s="73" t="e">
        <f>'[4]10. Šport'!#REF!</f>
        <v>#REF!</v>
      </c>
      <c r="K124" s="75">
        <v>0</v>
      </c>
      <c r="L124" s="72" t="e">
        <f t="shared" si="60"/>
        <v>#REF!</v>
      </c>
      <c r="M124" s="73" t="e">
        <f>'[4]10. Šport'!#REF!</f>
        <v>#REF!</v>
      </c>
      <c r="N124" s="73" t="e">
        <f>'[4]10. Šport'!#REF!</f>
        <v>#REF!</v>
      </c>
      <c r="O124" s="75" t="e">
        <f>'[4]10.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'[4]10. Šport'!$H$23</f>
        <v>45954</v>
      </c>
      <c r="V124" s="73">
        <f>'[4]10. Šport'!$I$23</f>
        <v>0</v>
      </c>
      <c r="W124" s="75">
        <f>'[4]10.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'[4]10. Šport'!#REF!</f>
        <v>#REF!</v>
      </c>
      <c r="G125" s="74" t="e">
        <f>'[4]10.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'[4]10. Šport'!#REF!</f>
        <v>#REF!</v>
      </c>
      <c r="N125" s="73" t="e">
        <f>'[4]10. Šport'!#REF!</f>
        <v>#REF!</v>
      </c>
      <c r="O125" s="75" t="e">
        <f>'[4]10.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'[4]10. Šport'!$H$36</f>
        <v>18820</v>
      </c>
      <c r="V125" s="73">
        <f>'[4]10. Šport'!$I$36</f>
        <v>0</v>
      </c>
      <c r="W125" s="75">
        <f>'[4]10.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'[4]10. Šport'!#REF!</f>
        <v>#REF!</v>
      </c>
      <c r="G126" s="74" t="e">
        <f>'[4]10.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'[4]10. Šport'!#REF!</f>
        <v>#REF!</v>
      </c>
      <c r="N126" s="73" t="e">
        <f>'[4]10. Šport'!#REF!</f>
        <v>#REF!</v>
      </c>
      <c r="O126" s="75" t="e">
        <f>'[4]10.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'[5]10. Šport'!$Q$38</f>
        <v>16800</v>
      </c>
      <c r="V126" s="73">
        <f>'[4]10. Šport'!$I$44</f>
        <v>0</v>
      </c>
      <c r="W126" s="75">
        <f>'[4]10.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'[4]10. Šport'!#REF!</f>
        <v>#REF!</v>
      </c>
      <c r="G127" s="74" t="e">
        <f>'[4]10.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'[4]10. Šport'!#REF!</f>
        <v>#REF!</v>
      </c>
      <c r="N127" s="73" t="e">
        <f>'[4]10. Šport'!#REF!</f>
        <v>#REF!</v>
      </c>
      <c r="O127" s="75" t="e">
        <f>'[4]10.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'[4]10. Šport'!$H$57</f>
        <v>1900</v>
      </c>
      <c r="V127" s="73">
        <f>'[4]10. Šport'!$I$57</f>
        <v>0</v>
      </c>
      <c r="W127" s="75">
        <f>'[4]10.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'[5]10. Šport'!$Q$56</f>
        <v>12000</v>
      </c>
      <c r="V128" s="82">
        <f>'[4]10. Šport'!$I$63</f>
        <v>0</v>
      </c>
      <c r="W128" s="83">
        <f>'[4]10.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'[4]10. Šport'!#REF!</f>
        <v>#REF!</v>
      </c>
      <c r="G129" s="180" t="e">
        <f>'[4]10.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'[4]10. Šport'!#REF!</f>
        <v>#REF!</v>
      </c>
      <c r="N129" s="179" t="e">
        <f>'[4]10. Šport'!#REF!</f>
        <v>#REF!</v>
      </c>
      <c r="O129" s="188" t="e">
        <f>'[4]10.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'[4]10. Šport'!$H$67</f>
        <v>#REF!</v>
      </c>
      <c r="V129" s="179" t="e">
        <f>'[4]10. Šport'!$I$67</f>
        <v>#REF!</v>
      </c>
      <c r="W129" s="188" t="e">
        <f>'[4]10.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'[4]11. Kultúra'!#REF!</f>
        <v>#REF!</v>
      </c>
      <c r="G131" s="173" t="e">
        <f>'[4]11. Kultúra'!#REF!</f>
        <v>#REF!</v>
      </c>
      <c r="H131" s="171" t="e">
        <f>SUM(I131:K131)</f>
        <v>#REF!</v>
      </c>
      <c r="I131" s="172" t="e">
        <f>'[4]11. Kultúra'!#REF!</f>
        <v>#REF!</v>
      </c>
      <c r="J131" s="172" t="e">
        <f>'[4]11. Kultúra'!#REF!</f>
        <v>#REF!</v>
      </c>
      <c r="K131" s="174" t="e">
        <f>'[4]11. Kultúra'!#REF!</f>
        <v>#REF!</v>
      </c>
      <c r="L131" s="175" t="e">
        <f>SUM(M131:O131)</f>
        <v>#REF!</v>
      </c>
      <c r="M131" s="172" t="e">
        <f>'[4]11. Kultúra'!#REF!</f>
        <v>#REF!</v>
      </c>
      <c r="N131" s="172" t="e">
        <f>'[4]11. Kultúra'!#REF!</f>
        <v>#REF!</v>
      </c>
      <c r="O131" s="174" t="e">
        <f>'[4]11.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'[4]11. Kultúra'!$H$4</f>
        <v>2940</v>
      </c>
      <c r="V131" s="172">
        <f>'[4]11. Kultúra'!$I$4</f>
        <v>0</v>
      </c>
      <c r="W131" s="174">
        <f>'[4]11.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'[4]11. Kultúra'!#REF!</f>
        <v>#REF!</v>
      </c>
      <c r="H133" s="72" t="e">
        <f t="shared" ref="H133:H138" si="65">SUM(I133:K133)</f>
        <v>#REF!</v>
      </c>
      <c r="I133" s="73" t="e">
        <f>'[4]11. Kultúra'!#REF!</f>
        <v>#REF!</v>
      </c>
      <c r="J133" s="73" t="e">
        <f>'[4]11. Kultúra'!#REF!</f>
        <v>#REF!</v>
      </c>
      <c r="K133" s="75" t="e">
        <f>'[4]11. Kultúra'!#REF!</f>
        <v>#REF!</v>
      </c>
      <c r="L133" s="76" t="e">
        <f t="shared" ref="L133:L138" si="66">SUM(M133:O133)</f>
        <v>#REF!</v>
      </c>
      <c r="M133" s="73" t="e">
        <f>'[4]11. Kultúra'!#REF!</f>
        <v>#REF!</v>
      </c>
      <c r="N133" s="73" t="e">
        <f>'[4]11. Kultúra'!#REF!</f>
        <v>#REF!</v>
      </c>
      <c r="O133" s="75" t="e">
        <f>'[4]11.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'[4]11. Kultúra'!$H$24</f>
        <v>109400</v>
      </c>
      <c r="V133" s="73">
        <f>'[4]11. Kultúra'!$I$24</f>
        <v>0</v>
      </c>
      <c r="W133" s="75">
        <f>'[4]11.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'[4]11. Kultúra'!#REF!</f>
        <v>#REF!</v>
      </c>
      <c r="G134" s="74" t="e">
        <f>'[4]11. Kultúra'!#REF!</f>
        <v>#REF!</v>
      </c>
      <c r="H134" s="72" t="e">
        <f t="shared" si="65"/>
        <v>#REF!</v>
      </c>
      <c r="I134" s="73" t="e">
        <f>'[4]11. Kultúra'!#REF!</f>
        <v>#REF!</v>
      </c>
      <c r="J134" s="73" t="e">
        <f>'[4]11. Kultúra'!#REF!</f>
        <v>#REF!</v>
      </c>
      <c r="K134" s="75" t="e">
        <f>'[4]11. Kultúra'!#REF!</f>
        <v>#REF!</v>
      </c>
      <c r="L134" s="76" t="e">
        <f t="shared" si="66"/>
        <v>#REF!</v>
      </c>
      <c r="M134" s="73" t="e">
        <f>'[4]11. Kultúra'!#REF!</f>
        <v>#REF!</v>
      </c>
      <c r="N134" s="73" t="e">
        <f>'[4]11. Kultúra'!#REF!</f>
        <v>#REF!</v>
      </c>
      <c r="O134" s="75" t="e">
        <f>'[4]11.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'[4]11. Kultúra'!$H$30</f>
        <v>2355</v>
      </c>
      <c r="V134" s="73">
        <f>'[4]11. Kultúra'!$I$30</f>
        <v>0</v>
      </c>
      <c r="W134" s="75">
        <f>'[4]11.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'[4]11. Kultúra'!#REF!</f>
        <v>#REF!</v>
      </c>
      <c r="H135" s="72" t="e">
        <f t="shared" si="65"/>
        <v>#REF!</v>
      </c>
      <c r="I135" s="73" t="e">
        <f>'[4]11. Kultúra'!#REF!</f>
        <v>#REF!</v>
      </c>
      <c r="J135" s="73" t="e">
        <f>'[4]11. Kultúra'!#REF!</f>
        <v>#REF!</v>
      </c>
      <c r="K135" s="75" t="e">
        <f>'[4]11. Kultúra'!#REF!</f>
        <v>#REF!</v>
      </c>
      <c r="L135" s="76" t="e">
        <f t="shared" si="66"/>
        <v>#REF!</v>
      </c>
      <c r="M135" s="73" t="e">
        <f>'[4]11. Kultúra'!#REF!</f>
        <v>#REF!</v>
      </c>
      <c r="N135" s="73" t="e">
        <f>'[4]11. Kultúra'!#REF!</f>
        <v>#REF!</v>
      </c>
      <c r="O135" s="75" t="e">
        <f>'[4]11.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'[4]11. Kultúra'!$H$43</f>
        <v>306185</v>
      </c>
      <c r="V135" s="73">
        <f>'[4]11. Kultúra'!$I$43</f>
        <v>65088</v>
      </c>
      <c r="W135" s="75">
        <f>'[4]11.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'[4]11. Kultúra'!#REF!</f>
        <v>#REF!</v>
      </c>
      <c r="G136" s="74" t="e">
        <f>'[4]11. Kultúra'!#REF!</f>
        <v>#REF!</v>
      </c>
      <c r="H136" s="72" t="e">
        <f t="shared" si="65"/>
        <v>#REF!</v>
      </c>
      <c r="I136" s="73" t="e">
        <f>'[4]11. Kultúra'!#REF!</f>
        <v>#REF!</v>
      </c>
      <c r="J136" s="73" t="e">
        <f>'[4]11. Kultúra'!#REF!</f>
        <v>#REF!</v>
      </c>
      <c r="K136" s="75" t="e">
        <f>'[4]11. Kultúra'!#REF!</f>
        <v>#REF!</v>
      </c>
      <c r="L136" s="76" t="e">
        <f t="shared" si="66"/>
        <v>#REF!</v>
      </c>
      <c r="M136" s="73">
        <v>19300</v>
      </c>
      <c r="N136" s="73" t="e">
        <f>'[4]11. Kultúra'!#REF!</f>
        <v>#REF!</v>
      </c>
      <c r="O136" s="75" t="e">
        <f>'[4]11.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'[4]11. Kultúra'!$H$141</f>
        <v>#REF!</v>
      </c>
      <c r="V136" s="73" t="e">
        <f>'[4]11. Kultúra'!$I$140</f>
        <v>#REF!</v>
      </c>
      <c r="W136" s="75" t="e">
        <f>'[4]11.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'[4]11. Kultúra'!#REF!</f>
        <v>#REF!</v>
      </c>
      <c r="H137" s="171" t="e">
        <f t="shared" si="65"/>
        <v>#REF!</v>
      </c>
      <c r="I137" s="172" t="e">
        <f>'[4]11. Kultúra'!#REF!</f>
        <v>#REF!</v>
      </c>
      <c r="J137" s="172" t="e">
        <f>'[4]11. Kultúra'!#REF!</f>
        <v>#REF!</v>
      </c>
      <c r="K137" s="174" t="e">
        <f>'[4]11. Kultúra'!#REF!</f>
        <v>#REF!</v>
      </c>
      <c r="L137" s="175" t="e">
        <f t="shared" si="66"/>
        <v>#REF!</v>
      </c>
      <c r="M137" s="172">
        <v>3300</v>
      </c>
      <c r="N137" s="172" t="e">
        <f>'[4]11. Kultúra'!#REF!</f>
        <v>#REF!</v>
      </c>
      <c r="O137" s="174" t="e">
        <f>'[4]11.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'[4]11. Kultúra'!$H$156</f>
        <v>300</v>
      </c>
      <c r="V137" s="172" t="e">
        <f>'[4]11. Kultúra'!$I$156</f>
        <v>#REF!</v>
      </c>
      <c r="W137" s="174" t="e">
        <f>'[4]11.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'[4]11. Kultúra'!#REF!</f>
        <v>#REF!</v>
      </c>
      <c r="G138" s="201" t="e">
        <f>'[4]11. Kultúra'!#REF!</f>
        <v>#REF!</v>
      </c>
      <c r="H138" s="202" t="e">
        <f t="shared" si="65"/>
        <v>#REF!</v>
      </c>
      <c r="I138" s="203" t="e">
        <f>'[4]11. Kultúra'!#REF!</f>
        <v>#REF!</v>
      </c>
      <c r="J138" s="203" t="e">
        <f>'[4]11. Kultúra'!#REF!</f>
        <v>#REF!</v>
      </c>
      <c r="K138" s="204" t="e">
        <f>'[4]11. Kultúra'!#REF!</f>
        <v>#REF!</v>
      </c>
      <c r="L138" s="187" t="e">
        <f t="shared" si="66"/>
        <v>#REF!</v>
      </c>
      <c r="M138" s="179">
        <v>0</v>
      </c>
      <c r="N138" s="179" t="e">
        <f>'[4]11. Kultúra'!#REF!</f>
        <v>#REF!</v>
      </c>
      <c r="O138" s="205" t="e">
        <f>'[4]11.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'[4]11. Kultúra'!$H$160</f>
        <v>#REF!</v>
      </c>
      <c r="V138" s="179" t="e">
        <f>'[4]11. Kultúra'!$I$160</f>
        <v>#REF!</v>
      </c>
      <c r="W138" s="205" t="e">
        <f>'[4]11.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'[4]12. Prostredie pre život'!#REF!</f>
        <v>#REF!</v>
      </c>
      <c r="G141" s="74" t="e">
        <f>'[4]12.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'[4]12. Prostredie pre život'!#REF!</f>
        <v>#REF!</v>
      </c>
      <c r="N141" s="73" t="e">
        <f>'[4]12. Prostredie pre život'!#REF!</f>
        <v>#REF!</v>
      </c>
      <c r="O141" s="75" t="e">
        <f>'[4]12.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'[4]12. Prostredie pre život'!$H$5</f>
        <v>117930</v>
      </c>
      <c r="V141" s="73">
        <f>'[4]12. Prostredie pre život'!$I$5</f>
        <v>0</v>
      </c>
      <c r="W141" s="75">
        <f>'[4]12.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'[4]12. Prostredie pre život'!#REF!</f>
        <v>#REF!</v>
      </c>
      <c r="F142" s="73" t="e">
        <f>'[4]12. Prostredie pre život'!#REF!</f>
        <v>#REF!</v>
      </c>
      <c r="G142" s="74" t="e">
        <f>'[4]12.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'[4]12. Prostredie pre život'!#REF!</f>
        <v>#REF!</v>
      </c>
      <c r="N142" s="73" t="e">
        <f>'[4]12. Prostredie pre život'!#REF!</f>
        <v>#REF!</v>
      </c>
      <c r="O142" s="75" t="e">
        <f>'[4]12.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'[4]12. Prostredie pre život'!$H$19</f>
        <v>450</v>
      </c>
      <c r="V142" s="73">
        <f>'[4]12. Prostredie pre život'!$I$19</f>
        <v>0</v>
      </c>
      <c r="W142" s="75">
        <f>'[4]12.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'[4]12.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'[4]12. Prostredie pre život'!#REF!</f>
        <v>#REF!</v>
      </c>
      <c r="O143" s="75" t="e">
        <f>'[4]12.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'[4]12. Prostredie pre život'!$H$21</f>
        <v>151902</v>
      </c>
      <c r="V143" s="73">
        <f>'[4]12. Prostredie pre život'!$I$21</f>
        <v>1921299</v>
      </c>
      <c r="W143" s="75">
        <f>'[4]12.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'[4]12. Prostredie pre život'!#REF!</f>
        <v>#REF!</v>
      </c>
      <c r="G144" s="74" t="e">
        <f>'[4]12.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'[4]12. Prostredie pre život'!#REF!</f>
        <v>#REF!</v>
      </c>
      <c r="N144" s="73" t="e">
        <f>'[4]12. Prostredie pre život'!#REF!</f>
        <v>#REF!</v>
      </c>
      <c r="O144" s="75" t="e">
        <f>'[4]12.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'[4]12. Prostredie pre život'!$H$39</f>
        <v>2850</v>
      </c>
      <c r="V144" s="73">
        <f>'[4]12. Prostredie pre život'!$I$39</f>
        <v>0</v>
      </c>
      <c r="W144" s="75">
        <f>'[4]12.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'[4]12. Prostredie pre život'!#REF!</f>
        <v>#REF!</v>
      </c>
      <c r="G145" s="173" t="e">
        <f>'[4]12.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'[4]12. Prostredie pre život'!#REF!</f>
        <v>#REF!</v>
      </c>
      <c r="N145" s="172" t="e">
        <f>'[4]12. Prostredie pre život'!#REF!</f>
        <v>#REF!</v>
      </c>
      <c r="O145" s="174" t="e">
        <f>'[4]12.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'[4]12. Prostredie pre život'!$H$45</f>
        <v>1825</v>
      </c>
      <c r="V145" s="172">
        <f>'[4]12. Prostredie pre život'!$I$45</f>
        <v>0</v>
      </c>
      <c r="W145" s="174">
        <f>'[4]12.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'[4]12. Prostredie pre život'!#REF!</f>
        <v>#REF!</v>
      </c>
      <c r="G146" s="173" t="e">
        <f>'[4]12.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'[4]12. Prostredie pre život'!#REF!</f>
        <v>#REF!</v>
      </c>
      <c r="N146" s="172" t="e">
        <f>'[4]12. Prostredie pre život'!#REF!</f>
        <v>#REF!</v>
      </c>
      <c r="O146" s="174" t="e">
        <f>'[4]12.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'[4]12. Prostredie pre život'!$H$48</f>
        <v>6840</v>
      </c>
      <c r="V146" s="172">
        <f>'[4]12. Prostredie pre život'!$I$48</f>
        <v>7000</v>
      </c>
      <c r="W146" s="174">
        <f>'[4]12.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'[4]12. Prostredie pre život'!#REF!</f>
        <v>#REF!</v>
      </c>
      <c r="G147" s="173" t="e">
        <f>'[4]12.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'[4]12. Prostredie pre život'!#REF!</f>
        <v>#REF!</v>
      </c>
      <c r="N147" s="172" t="e">
        <f>'[4]12. Prostredie pre život'!#REF!</f>
        <v>#REF!</v>
      </c>
      <c r="O147" s="174" t="e">
        <f>'[4]12.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'[4]12. Prostredie pre život'!$H$60</f>
        <v>75</v>
      </c>
      <c r="V147" s="172">
        <f>'[4]12. Prostredie pre život'!$I$60</f>
        <v>0</v>
      </c>
      <c r="W147" s="174">
        <f>'[4]12.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'[4]12. Prostredie pre život'!#REF!</f>
        <v>#REF!</v>
      </c>
      <c r="G148" s="173" t="e">
        <f>'[4]12.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'[4]12. Prostredie pre život'!#REF!</f>
        <v>#REF!</v>
      </c>
      <c r="N148" s="172" t="e">
        <f>'[4]12. Prostredie pre život'!#REF!</f>
        <v>#REF!</v>
      </c>
      <c r="O148" s="174" t="e">
        <f>'[4]12.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'[4]12. Prostredie pre život'!$H$62</f>
        <v>19460</v>
      </c>
      <c r="V148" s="172">
        <f>'[4]12. Prostredie pre život'!$I$62</f>
        <v>0</v>
      </c>
      <c r="W148" s="174">
        <f>'[4]12.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'[4]12.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'[4]12. Prostredie pre život'!#REF!</f>
        <v>#REF!</v>
      </c>
      <c r="N149" s="181" t="e">
        <f>'[4]12. Prostredie pre život'!#REF!</f>
        <v>#REF!</v>
      </c>
      <c r="O149" s="182" t="e">
        <f>'[4]12.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'[4]12. Prostredie pre život'!$H$69</f>
        <v>28950</v>
      </c>
      <c r="V149" s="181">
        <f>'[4]12. Prostredie pre život'!$I$69</f>
        <v>8480</v>
      </c>
      <c r="W149" s="182">
        <f>'[4]12.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'[4]12. Prostredie pre život'!#REF!</f>
        <v>#REF!</v>
      </c>
      <c r="G150" s="180" t="e">
        <f>'[4]12.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'[4]12. Prostredie pre život'!#REF!</f>
        <v>#REF!</v>
      </c>
      <c r="N150" s="179" t="e">
        <f>'[4]12. Prostredie pre život'!#REF!</f>
        <v>#REF!</v>
      </c>
      <c r="O150" s="188" t="e">
        <f>'[4]12.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'[4]12. Prostredie pre život'!$H$98</f>
        <v>0</v>
      </c>
      <c r="V150" s="179">
        <f>'[4]12. Prostredie pre život'!$I$98</f>
        <v>0</v>
      </c>
      <c r="W150" s="188">
        <f>'[4]12.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'[4]13. Sociálna starostlivosť'!#REF!</f>
        <v>#REF!</v>
      </c>
      <c r="G153" s="74" t="e">
        <f>'[4]13.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'[4]13. Sociálna starostlivosť'!#REF!</f>
        <v>#REF!</v>
      </c>
      <c r="O153" s="75" t="e">
        <f>'[4]13.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'[4]13. Sociálna starostlivosť'!$H$5</f>
        <v>0</v>
      </c>
      <c r="V153" s="73">
        <f>'[4]13. Sociálna starostlivosť'!$I$5</f>
        <v>0</v>
      </c>
      <c r="W153" s="75" t="e">
        <f>'[4]13.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'[4]13. Sociálna starostlivosť'!#REF!</f>
        <v>#REF!</v>
      </c>
      <c r="G154" s="74" t="e">
        <f>'[4]13.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'[4]13. Sociálna starostlivosť'!#REF!</f>
        <v>#REF!</v>
      </c>
      <c r="O154" s="75" t="e">
        <f>'[4]13.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'[4]13. Sociálna starostlivosť'!$H$7</f>
        <v>0</v>
      </c>
      <c r="V154" s="73" t="e">
        <f>'[4]13. Sociálna starostlivosť'!$I$7</f>
        <v>#REF!</v>
      </c>
      <c r="W154" s="75" t="e">
        <f>'[4]13.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'[4]13. Sociálna starostlivosť'!#REF!</f>
        <v>#REF!</v>
      </c>
      <c r="G155" s="74" t="e">
        <f>'[4]13.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'[4]13. Sociálna starostlivosť'!#REF!</f>
        <v>#REF!</v>
      </c>
      <c r="N155" s="73" t="e">
        <f>'[4]13. Sociálna starostlivosť'!#REF!</f>
        <v>#REF!</v>
      </c>
      <c r="O155" s="75" t="e">
        <f>'[4]13.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'[4]13. Sociálna starostlivosť'!$H$8</f>
        <v>2000</v>
      </c>
      <c r="V155" s="73">
        <f>'[4]13. Sociálna starostlivosť'!$I$8</f>
        <v>0</v>
      </c>
      <c r="W155" s="75">
        <f>'[4]13.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'[4]13. Sociálna starostlivosť'!#REF!</f>
        <v>#REF!</v>
      </c>
      <c r="G157" s="74" t="e">
        <f>'[4]13.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'[4]13. Sociálna starostlivosť'!#REF!</f>
        <v>#REF!</v>
      </c>
      <c r="O157" s="75" t="e">
        <f>'[4]13.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'[4]13. Sociálna starostlivosť'!$H$11</f>
        <v>155</v>
      </c>
      <c r="V157" s="73">
        <f>'[4]13. Sociálna starostlivosť'!$I$11</f>
        <v>0</v>
      </c>
      <c r="W157" s="75">
        <f>'[4]13.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'[4]13. Sociálna starostlivosť'!#REF!</f>
        <v>#REF!</v>
      </c>
      <c r="G158" s="74" t="e">
        <f>'[4]13.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'[4]13. Sociálna starostlivosť'!#REF!</f>
        <v>#REF!</v>
      </c>
      <c r="O158" s="75" t="e">
        <f>'[4]13.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'[4]13. Sociálna starostlivosť'!$H$17</f>
        <v>0</v>
      </c>
      <c r="V158" s="73" t="e">
        <f>'[4]13. Sociálna starostlivosť'!$I$17</f>
        <v>#REF!</v>
      </c>
      <c r="W158" s="75" t="e">
        <f>'[4]13.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'[4]13. Sociálna starostlivosť'!#REF!</f>
        <v>#REF!</v>
      </c>
      <c r="G159" s="74" t="e">
        <f>'[4]13.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'[4]13. Sociálna starostlivosť'!#REF!</f>
        <v>#REF!</v>
      </c>
      <c r="N159" s="73" t="e">
        <f>'[4]13. Sociálna starostlivosť'!#REF!</f>
        <v>#REF!</v>
      </c>
      <c r="O159" s="75" t="e">
        <f>'[4]13.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'[4]13. Sociálna starostlivosť'!$H$18</f>
        <v>7695</v>
      </c>
      <c r="V159" s="73">
        <f>'[4]13. Sociálna starostlivosť'!$I$18</f>
        <v>0</v>
      </c>
      <c r="W159" s="75">
        <f>'[4]13.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'[4]13. Sociálna starostlivosť'!#REF!</f>
        <v>#REF!</v>
      </c>
      <c r="G160" s="74" t="e">
        <f>'[4]13.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'[4]13. Sociálna starostlivosť'!#REF!</f>
        <v>#REF!</v>
      </c>
      <c r="O160" s="75" t="e">
        <f>'[4]13.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'[4]13. Sociálna starostlivosť'!$H$20</f>
        <v>0</v>
      </c>
      <c r="V160" s="73" t="e">
        <f>'[4]13. Sociálna starostlivosť'!$I$20</f>
        <v>#REF!</v>
      </c>
      <c r="W160" s="75" t="e">
        <f>'[4]13.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'[4]13. Sociálna starostlivosť'!#REF!</f>
        <v>#REF!</v>
      </c>
      <c r="G162" s="74" t="e">
        <f>'[4]13.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'[4]13. Sociálna starostlivosť'!#REF!</f>
        <v>#REF!</v>
      </c>
      <c r="O162" s="75" t="e">
        <f>'[4]13.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'[4]13. Sociálna starostlivosť'!$H$22</f>
        <v>0</v>
      </c>
      <c r="V162" s="73" t="e">
        <f>'[4]13. Sociálna starostlivosť'!$I$22</f>
        <v>#REF!</v>
      </c>
      <c r="W162" s="75" t="e">
        <f>'[4]13.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'[4]13. Sociálna starostlivosť'!#REF!</f>
        <v>#REF!</v>
      </c>
      <c r="G163" s="74" t="e">
        <f>'[4]13.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'[4]13. Sociálna starostlivosť'!#REF!</f>
        <v>#REF!</v>
      </c>
      <c r="O163" s="75" t="e">
        <f>'[4]13.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'[4]13. Sociálna starostlivosť'!$H$24</f>
        <v>0</v>
      </c>
      <c r="V163" s="73" t="e">
        <f>'[4]13. Sociálna starostlivosť'!$I$24</f>
        <v>#REF!</v>
      </c>
      <c r="W163" s="75" t="e">
        <f>'[4]13.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'[4]13.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'[4]13.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'[4]13. Sociálna starostlivosť'!$H$25</f>
        <v>0</v>
      </c>
      <c r="V164" s="73">
        <f>'[4]13. Sociálna starostlivosť'!$I$25</f>
        <v>2032610</v>
      </c>
      <c r="W164" s="75">
        <f>'[4]13.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'[4]13.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'[4]13. Sociálna starostlivosť'!#REF!</f>
        <v>#REF!</v>
      </c>
      <c r="O166" s="75" t="e">
        <f>'[4]13.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'[4]13. Sociálna starostlivosť'!$H$38</f>
        <v>0</v>
      </c>
      <c r="V166" s="73">
        <f>'[4]13. Sociálna starostlivosť'!$I$38</f>
        <v>0</v>
      </c>
      <c r="W166" s="75">
        <f>'[4]13.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'[4]13. Sociálna starostlivosť'!#REF!</f>
        <v>#REF!</v>
      </c>
      <c r="G167" s="74" t="e">
        <f>'[4]13.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'[4]13. Sociálna starostlivosť'!#REF!</f>
        <v>#REF!</v>
      </c>
      <c r="N167" s="73" t="e">
        <f>'[4]13. Sociálna starostlivosť'!#REF!</f>
        <v>#REF!</v>
      </c>
      <c r="O167" s="75" t="e">
        <f>'[4]13.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'[4]13. Sociálna starostlivosť'!$H$41</f>
        <v>0</v>
      </c>
      <c r="V167" s="73">
        <f>'[4]13. Sociálna starostlivosť'!$I$41</f>
        <v>0</v>
      </c>
      <c r="W167" s="75">
        <f>'[4]13.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'[4]13. Sociálna starostlivosť'!#REF!</f>
        <v>#REF!</v>
      </c>
      <c r="G168" s="74" t="e">
        <f>'[4]13.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'[4]13. Sociálna starostlivosť'!#REF!</f>
        <v>#REF!</v>
      </c>
      <c r="O168" s="75" t="e">
        <f>'[4]13.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'[4]13. Sociálna starostlivosť'!$H$43</f>
        <v>0</v>
      </c>
      <c r="V168" s="73" t="e">
        <f>'[4]13. Sociálna starostlivosť'!$I$43</f>
        <v>#REF!</v>
      </c>
      <c r="W168" s="75" t="e">
        <f>'[4]13.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'[4]13. Sociálna starostlivosť'!#REF!</f>
        <v>#REF!</v>
      </c>
      <c r="G169" s="173" t="e">
        <f>'[4]13.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'[4]13. Sociálna starostlivosť'!#REF!</f>
        <v>#REF!</v>
      </c>
      <c r="O169" s="174" t="e">
        <f>'[4]13.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'[4]13. Sociálna starostlivosť'!$H$44</f>
        <v>0</v>
      </c>
      <c r="V169" s="172" t="e">
        <f>'[4]13. Sociálna starostlivosť'!$I$44</f>
        <v>#REF!</v>
      </c>
      <c r="W169" s="174" t="e">
        <f>'[4]13.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'[4]13. Sociálna starostlivosť'!#REF!</f>
        <v>#REF!</v>
      </c>
      <c r="G170" s="173" t="e">
        <f>'[4]13.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'[4]13. Sociálna starostlivosť'!#REF!</f>
        <v>#REF!</v>
      </c>
      <c r="N170" s="172" t="e">
        <f>'[4]13. Sociálna starostlivosť'!#REF!</f>
        <v>#REF!</v>
      </c>
      <c r="O170" s="174" t="e">
        <f>'[4]13.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'[4]13. Sociálna starostlivosť'!$H$45</f>
        <v>16468</v>
      </c>
      <c r="V170" s="172">
        <f>'[4]13. Sociálna starostlivosť'!$I$45</f>
        <v>0</v>
      </c>
      <c r="W170" s="174">
        <f>'[4]13.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'[4]13. Sociálna starostlivosť'!#REF!</f>
        <v>#REF!</v>
      </c>
      <c r="G172" s="74" t="e">
        <f>'[4]13.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'[4]13. Sociálna starostlivosť'!#REF!</f>
        <v>#REF!</v>
      </c>
      <c r="N172" s="73" t="e">
        <f>'[4]13. Sociálna starostlivosť'!#REF!</f>
        <v>#REF!</v>
      </c>
      <c r="O172" s="75" t="e">
        <f>'[4]13.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'[4]13. Sociálna starostlivosť'!$H$54</f>
        <v>150</v>
      </c>
      <c r="V172" s="73" t="e">
        <f>'[4]13. Sociálna starostlivosť'!$I$54</f>
        <v>#REF!</v>
      </c>
      <c r="W172" s="75" t="e">
        <f>'[4]13.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'[4]13. Sociálna starostlivosť'!#REF!</f>
        <v>#REF!</v>
      </c>
      <c r="G173" s="180" t="e">
        <f>'[4]13. Sociálna starostlivosť'!#REF!</f>
        <v>#REF!</v>
      </c>
      <c r="H173" s="178" t="e">
        <f>SUM(I173:K173)</f>
        <v>#REF!</v>
      </c>
      <c r="I173" s="179" t="e">
        <f>'[4]13.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'[4]13. Sociálna starostlivosť'!#REF!</f>
        <v>#REF!</v>
      </c>
      <c r="N173" s="179" t="e">
        <f>'[4]13. Sociálna starostlivosť'!#REF!</f>
        <v>#REF!</v>
      </c>
      <c r="O173" s="188" t="e">
        <f>'[4]13.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'[4]13. Sociálna starostlivosť'!$H$75</f>
        <v>1300</v>
      </c>
      <c r="V173" s="179" t="e">
        <f>'[4]13. Sociálna starostlivosť'!$I$75</f>
        <v>#REF!</v>
      </c>
      <c r="W173" s="188" t="e">
        <f>'[4]13.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'[4]14.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'[4]14. Bývanie'!#REF!</f>
        <v>#REF!</v>
      </c>
      <c r="N174" s="164" t="e">
        <f>'[4]14. Bývanie'!#REF!</f>
        <v>#REF!</v>
      </c>
      <c r="O174" s="164" t="e">
        <f>'[4]14.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'[4]14. Bývanie'!$H$18</f>
        <v>329843</v>
      </c>
      <c r="V174" s="164">
        <f>'[4]14. Bývanie'!$I$18</f>
        <v>0</v>
      </c>
      <c r="W174" s="164">
        <f>'[4]14.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'[4]15.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'[4]15. Administratíva'!#REF!</f>
        <v>#REF!</v>
      </c>
      <c r="L176" s="76" t="e">
        <f>SUM(M176:O176)</f>
        <v>#REF!</v>
      </c>
      <c r="M176" s="73" t="e">
        <f>'[4]15. Administratíva'!#REF!</f>
        <v>#REF!</v>
      </c>
      <c r="N176" s="73" t="e">
        <f>'[4]15. Administratíva'!#REF!</f>
        <v>#REF!</v>
      </c>
      <c r="O176" s="75" t="e">
        <f>'[4]15.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'[4]15. Administratíva'!$H$89</f>
        <v>1343</v>
      </c>
      <c r="V176" s="73" t="e">
        <f>'[4]15. Administratíva'!$I$89</f>
        <v>#REF!</v>
      </c>
      <c r="W176" s="75" t="e">
        <f>'[4]15.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'[4]15. Administratíva'!#REF!</f>
        <v>#REF!</v>
      </c>
      <c r="F177" s="73" t="e">
        <f>'[4]15.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'[4]15. Administratíva'!#REF!</f>
        <v>#REF!</v>
      </c>
      <c r="N177" s="73" t="e">
        <f>'[4]15. Administratíva'!#REF!</f>
        <v>#REF!</v>
      </c>
      <c r="O177" s="75" t="e">
        <f>'[4]15.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'[4]15. Administratíva'!$H$91</f>
        <v>#REF!</v>
      </c>
      <c r="V177" s="73" t="e">
        <f>'[4]15. Administratíva'!$I$91</f>
        <v>#REF!</v>
      </c>
      <c r="W177" s="75" t="e">
        <f>'[4]15.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'[4]15. Administratíva'!#REF!</f>
        <v>#REF!</v>
      </c>
      <c r="G178" s="81" t="e">
        <f>'[4]15.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'[4]15. Administratíva'!#REF!</f>
        <v>#REF!</v>
      </c>
      <c r="O178" s="90" t="e">
        <f>'[4]15.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'[5]15. Administratíva'!$Q$4</f>
        <v>1303806</v>
      </c>
      <c r="V178" s="80">
        <f>'[4]15. Administratíva'!$I$4</f>
        <v>0</v>
      </c>
      <c r="W178" s="90">
        <f>'[4]15.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795" t="s">
        <v>392</v>
      </c>
      <c r="B1" s="795"/>
      <c r="C1" s="795"/>
      <c r="D1" s="795"/>
      <c r="E1" s="795"/>
      <c r="F1" s="795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3"/>
  <sheetViews>
    <sheetView zoomScale="80" zoomScaleNormal="8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C32" sqref="C32"/>
    </sheetView>
  </sheetViews>
  <sheetFormatPr defaultColWidth="34.28515625" defaultRowHeight="12.75" x14ac:dyDescent="0.2"/>
  <cols>
    <col min="1" max="1" width="59.42578125" style="101" bestFit="1" customWidth="1"/>
    <col min="2" max="5" width="20.5703125" style="351" customWidth="1"/>
    <col min="6" max="6" width="50.85546875" style="101" bestFit="1" customWidth="1"/>
    <col min="7" max="7" width="15.5703125" style="101" bestFit="1" customWidth="1"/>
    <col min="8" max="15" width="15.5703125" style="101" customWidth="1"/>
    <col min="16" max="248" width="9.140625" style="101" customWidth="1"/>
    <col min="249" max="16384" width="34.28515625" style="101"/>
  </cols>
  <sheetData>
    <row r="1" spans="1:5" ht="20.25" x14ac:dyDescent="0.3">
      <c r="A1" s="798" t="s">
        <v>646</v>
      </c>
      <c r="B1" s="798"/>
      <c r="C1" s="798"/>
      <c r="D1" s="798"/>
      <c r="E1" s="798"/>
    </row>
    <row r="2" spans="1:5" ht="13.5" thickBot="1" x14ac:dyDescent="0.25"/>
    <row r="3" spans="1:5" ht="41.25" customHeight="1" thickBot="1" x14ac:dyDescent="0.3">
      <c r="A3" s="332" t="s">
        <v>401</v>
      </c>
      <c r="B3" s="414" t="s">
        <v>587</v>
      </c>
      <c r="C3" s="414" t="s">
        <v>617</v>
      </c>
      <c r="D3" s="414" t="s">
        <v>640</v>
      </c>
      <c r="E3" s="414" t="s">
        <v>645</v>
      </c>
    </row>
    <row r="4" spans="1:5" ht="20.25" customHeight="1" x14ac:dyDescent="0.25">
      <c r="A4" s="331" t="s">
        <v>402</v>
      </c>
      <c r="B4" s="415">
        <f>'príjmy '!B3</f>
        <v>20389361.02</v>
      </c>
      <c r="C4" s="415">
        <f>'príjmy '!C3</f>
        <v>22156124.279999997</v>
      </c>
      <c r="D4" s="415">
        <f>'príjmy '!D3</f>
        <v>26296078</v>
      </c>
      <c r="E4" s="415">
        <f>'príjmy '!E3</f>
        <v>26143572.420000002</v>
      </c>
    </row>
    <row r="5" spans="1:5" ht="21.75" customHeight="1" x14ac:dyDescent="0.25">
      <c r="A5" s="105" t="s">
        <v>403</v>
      </c>
      <c r="B5" s="416">
        <f>'výdavky '!E6</f>
        <v>19076711.210000001</v>
      </c>
      <c r="C5" s="416">
        <f>'výdavky '!I6</f>
        <v>21624169.170000006</v>
      </c>
      <c r="D5" s="416">
        <f>'výdavky '!M6</f>
        <v>25760853</v>
      </c>
      <c r="E5" s="416">
        <f>'výdavky '!Q6</f>
        <v>24581390.029999994</v>
      </c>
    </row>
    <row r="6" spans="1:5" ht="21" customHeight="1" x14ac:dyDescent="0.25">
      <c r="A6" s="105" t="s">
        <v>379</v>
      </c>
      <c r="B6" s="416">
        <f t="shared" ref="B6:C6" si="0">B4-B5</f>
        <v>1312649.8099999987</v>
      </c>
      <c r="C6" s="416">
        <f t="shared" si="0"/>
        <v>531955.10999999195</v>
      </c>
      <c r="D6" s="416">
        <f t="shared" ref="D6:E6" si="1">D4-D5</f>
        <v>535225</v>
      </c>
      <c r="E6" s="416">
        <f t="shared" si="1"/>
        <v>1562182.390000008</v>
      </c>
    </row>
    <row r="7" spans="1:5" ht="18" x14ac:dyDescent="0.25">
      <c r="A7" s="105"/>
      <c r="B7" s="416"/>
      <c r="C7" s="416"/>
      <c r="D7" s="416"/>
      <c r="E7" s="416"/>
    </row>
    <row r="8" spans="1:5" ht="21.75" customHeight="1" x14ac:dyDescent="0.25">
      <c r="A8" s="105" t="s">
        <v>396</v>
      </c>
      <c r="B8" s="416">
        <f>'príjmy '!B106</f>
        <v>844958.95</v>
      </c>
      <c r="C8" s="416">
        <f>'príjmy '!C106</f>
        <v>536086.52</v>
      </c>
      <c r="D8" s="416">
        <f>'príjmy '!D106</f>
        <v>5687087</v>
      </c>
      <c r="E8" s="416">
        <f>'príjmy '!E106</f>
        <v>5741420.1499999994</v>
      </c>
    </row>
    <row r="9" spans="1:5" ht="21" customHeight="1" x14ac:dyDescent="0.25">
      <c r="A9" s="105" t="s">
        <v>397</v>
      </c>
      <c r="B9" s="416">
        <f>'výdavky '!F6</f>
        <v>2465491.37</v>
      </c>
      <c r="C9" s="416">
        <f>'výdavky '!J6</f>
        <v>3600923.2700000005</v>
      </c>
      <c r="D9" s="416">
        <f>'výdavky '!N6</f>
        <v>9676429</v>
      </c>
      <c r="E9" s="416">
        <f>'výdavky '!R6</f>
        <v>8825125.5999999996</v>
      </c>
    </row>
    <row r="10" spans="1:5" ht="21.75" customHeight="1" x14ac:dyDescent="0.25">
      <c r="A10" s="105" t="s">
        <v>379</v>
      </c>
      <c r="B10" s="416">
        <f t="shared" ref="B10:C10" si="2">B8-B9</f>
        <v>-1620532.4200000002</v>
      </c>
      <c r="C10" s="416">
        <f t="shared" si="2"/>
        <v>-3064836.7500000005</v>
      </c>
      <c r="D10" s="416">
        <f t="shared" ref="D10:E10" si="3">D8-D9</f>
        <v>-3989342</v>
      </c>
      <c r="E10" s="416">
        <f t="shared" si="3"/>
        <v>-3083705.45</v>
      </c>
    </row>
    <row r="11" spans="1:5" ht="18" x14ac:dyDescent="0.25">
      <c r="A11" s="105"/>
      <c r="B11" s="416"/>
      <c r="C11" s="416"/>
      <c r="D11" s="416"/>
      <c r="E11" s="416"/>
    </row>
    <row r="12" spans="1:5" ht="22.5" customHeight="1" x14ac:dyDescent="0.25">
      <c r="A12" s="105" t="s">
        <v>398</v>
      </c>
      <c r="B12" s="416">
        <f>'príjmy '!B126</f>
        <v>2210581.17</v>
      </c>
      <c r="C12" s="416">
        <f>'príjmy '!C126</f>
        <v>4281692.7700000005</v>
      </c>
      <c r="D12" s="416">
        <f>'príjmy '!D126</f>
        <v>8118017</v>
      </c>
      <c r="E12" s="416">
        <f>'príjmy '!E126</f>
        <v>5969418.21</v>
      </c>
    </row>
    <row r="13" spans="1:5" ht="22.5" customHeight="1" x14ac:dyDescent="0.25">
      <c r="A13" s="105" t="s">
        <v>399</v>
      </c>
      <c r="B13" s="416">
        <f>'výdavky '!G6</f>
        <v>212559.69</v>
      </c>
      <c r="C13" s="416">
        <f>'výdavky '!K6</f>
        <v>993541.5</v>
      </c>
      <c r="D13" s="416">
        <f>'výdavky '!O6</f>
        <v>3163900</v>
      </c>
      <c r="E13" s="416">
        <f>'výdavky '!S6</f>
        <v>2900094.3600000003</v>
      </c>
    </row>
    <row r="14" spans="1:5" ht="18.75" thickBot="1" x14ac:dyDescent="0.3">
      <c r="A14" s="108" t="s">
        <v>379</v>
      </c>
      <c r="B14" s="417">
        <f t="shared" ref="B14:C14" si="4">B12-B13</f>
        <v>1998021.48</v>
      </c>
      <c r="C14" s="417">
        <f t="shared" si="4"/>
        <v>3288151.2700000005</v>
      </c>
      <c r="D14" s="417">
        <f t="shared" ref="D14:E14" si="5">D12-D13</f>
        <v>4954117</v>
      </c>
      <c r="E14" s="417">
        <f t="shared" si="5"/>
        <v>3069323.8499999996</v>
      </c>
    </row>
    <row r="15" spans="1:5" ht="13.5" thickBot="1" x14ac:dyDescent="0.25">
      <c r="A15" s="111"/>
    </row>
    <row r="16" spans="1:5" ht="22.5" customHeight="1" x14ac:dyDescent="0.3">
      <c r="A16" s="255" t="s">
        <v>130</v>
      </c>
      <c r="B16" s="418">
        <f t="shared" ref="B16:E17" si="6">B4+B8+B12</f>
        <v>23444901.140000001</v>
      </c>
      <c r="C16" s="418">
        <f t="shared" si="6"/>
        <v>26973903.569999997</v>
      </c>
      <c r="D16" s="418">
        <f t="shared" si="6"/>
        <v>40101182</v>
      </c>
      <c r="E16" s="418">
        <f t="shared" si="6"/>
        <v>37854410.780000001</v>
      </c>
    </row>
    <row r="17" spans="1:6" ht="27.75" customHeight="1" thickBot="1" x14ac:dyDescent="0.35">
      <c r="A17" s="329" t="s">
        <v>383</v>
      </c>
      <c r="B17" s="419">
        <f>B5+B9+B13</f>
        <v>21754762.270000003</v>
      </c>
      <c r="C17" s="419">
        <f t="shared" si="6"/>
        <v>26218633.940000005</v>
      </c>
      <c r="D17" s="419">
        <f t="shared" si="6"/>
        <v>38601182</v>
      </c>
      <c r="E17" s="419">
        <f t="shared" si="6"/>
        <v>36306609.989999995</v>
      </c>
    </row>
    <row r="18" spans="1:6" ht="27" customHeight="1" thickBot="1" x14ac:dyDescent="0.35">
      <c r="A18" s="330" t="s">
        <v>384</v>
      </c>
      <c r="B18" s="420">
        <f>B16-B17</f>
        <v>1690138.8699999973</v>
      </c>
      <c r="C18" s="420">
        <f t="shared" ref="C18:E18" si="7">C16-C17</f>
        <v>755269.62999999151</v>
      </c>
      <c r="D18" s="420">
        <f t="shared" si="7"/>
        <v>1500000</v>
      </c>
      <c r="E18" s="420">
        <f t="shared" si="7"/>
        <v>1547800.7900000066</v>
      </c>
    </row>
    <row r="20" spans="1:6" ht="13.5" thickBot="1" x14ac:dyDescent="0.25">
      <c r="F20" s="351"/>
    </row>
    <row r="21" spans="1:6" ht="20.25" x14ac:dyDescent="0.3">
      <c r="A21" s="326" t="s">
        <v>423</v>
      </c>
      <c r="B21" s="421">
        <f t="shared" ref="B21:E22" si="8">B4+B8</f>
        <v>21234319.969999999</v>
      </c>
      <c r="C21" s="421">
        <f t="shared" si="8"/>
        <v>22692210.799999997</v>
      </c>
      <c r="D21" s="421">
        <f t="shared" si="8"/>
        <v>31983165</v>
      </c>
      <c r="E21" s="421">
        <f t="shared" si="8"/>
        <v>31884992.57</v>
      </c>
    </row>
    <row r="22" spans="1:6" ht="21" thickBot="1" x14ac:dyDescent="0.35">
      <c r="A22" s="327" t="s">
        <v>424</v>
      </c>
      <c r="B22" s="422">
        <f t="shared" si="8"/>
        <v>21542202.580000002</v>
      </c>
      <c r="C22" s="422">
        <f t="shared" si="8"/>
        <v>25225092.440000005</v>
      </c>
      <c r="D22" s="422">
        <f t="shared" si="8"/>
        <v>35437282</v>
      </c>
      <c r="E22" s="422">
        <f t="shared" si="8"/>
        <v>33406515.629999995</v>
      </c>
    </row>
    <row r="23" spans="1:6" ht="21" thickBot="1" x14ac:dyDescent="0.35">
      <c r="A23" s="328" t="s">
        <v>410</v>
      </c>
      <c r="B23" s="423">
        <f t="shared" ref="B23:E23" si="9">B21-B22</f>
        <v>-307882.61000000313</v>
      </c>
      <c r="C23" s="423">
        <f t="shared" si="9"/>
        <v>-2532881.640000008</v>
      </c>
      <c r="D23" s="423">
        <f t="shared" si="9"/>
        <v>-3454117</v>
      </c>
      <c r="E23" s="423">
        <f t="shared" si="9"/>
        <v>-1521523.0599999949</v>
      </c>
    </row>
    <row r="24" spans="1:6" ht="20.25" x14ac:dyDescent="0.3">
      <c r="A24" s="760"/>
      <c r="B24" s="761"/>
      <c r="C24" s="761"/>
      <c r="D24" s="761"/>
      <c r="E24" s="761"/>
    </row>
    <row r="25" spans="1:6" ht="20.25" x14ac:dyDescent="0.3">
      <c r="A25" s="760"/>
      <c r="B25" s="761"/>
      <c r="C25" s="761"/>
      <c r="D25" s="761"/>
      <c r="E25" s="761"/>
    </row>
    <row r="26" spans="1:6" ht="20.25" x14ac:dyDescent="0.3">
      <c r="A26" s="760"/>
      <c r="B26" s="761"/>
      <c r="C26" s="761"/>
      <c r="D26" s="761"/>
      <c r="E26" s="761"/>
    </row>
    <row r="27" spans="1:6" ht="20.25" x14ac:dyDescent="0.3">
      <c r="A27" s="760"/>
      <c r="B27" s="761"/>
      <c r="C27" s="761"/>
      <c r="D27" s="761"/>
      <c r="E27" s="761"/>
    </row>
    <row r="28" spans="1:6" ht="18.75" thickBot="1" x14ac:dyDescent="0.3">
      <c r="A28" s="256"/>
    </row>
    <row r="29" spans="1:6" ht="40.5" customHeight="1" thickBot="1" x14ac:dyDescent="0.3">
      <c r="A29" s="454" t="s">
        <v>420</v>
      </c>
      <c r="B29" s="342" t="s">
        <v>587</v>
      </c>
      <c r="C29" s="342" t="s">
        <v>617</v>
      </c>
      <c r="D29" s="342" t="s">
        <v>640</v>
      </c>
      <c r="E29" s="691" t="s">
        <v>645</v>
      </c>
    </row>
    <row r="30" spans="1:6" ht="18" x14ac:dyDescent="0.25">
      <c r="A30" s="455" t="s">
        <v>5</v>
      </c>
      <c r="B30" s="343">
        <f>'príjmy '!B4</f>
        <v>11109713.800000001</v>
      </c>
      <c r="C30" s="343">
        <f>'príjmy '!C4</f>
        <v>11921381.27</v>
      </c>
      <c r="D30" s="343">
        <f>'príjmy '!D4</f>
        <v>12574400</v>
      </c>
      <c r="E30" s="692">
        <f>'príjmy '!E4</f>
        <v>12724485.52</v>
      </c>
    </row>
    <row r="31" spans="1:6" ht="18" x14ac:dyDescent="0.25">
      <c r="A31" s="456" t="s">
        <v>608</v>
      </c>
      <c r="B31" s="344">
        <f>'príjmy '!B18+'príjmy '!B31+'príjmy '!B54+'príjmy '!B107</f>
        <v>2507996.79</v>
      </c>
      <c r="C31" s="344">
        <f>'príjmy '!C18+'príjmy '!C31+'príjmy '!C54+'príjmy '!C107</f>
        <v>3047561.41</v>
      </c>
      <c r="D31" s="344">
        <f>'príjmy '!D18+'príjmy '!D31+'príjmy '!D54+'príjmy '!D107</f>
        <v>3551790</v>
      </c>
      <c r="E31" s="693">
        <f>'príjmy '!E18+'príjmy '!E31+'príjmy '!E54+'príjmy '!E107</f>
        <v>3273572.07</v>
      </c>
    </row>
    <row r="32" spans="1:6" ht="18" x14ac:dyDescent="0.25">
      <c r="A32" s="456" t="s">
        <v>609</v>
      </c>
      <c r="B32" s="344">
        <f>'príjmy '!B63+'príjmy '!B111</f>
        <v>7616609.3799999999</v>
      </c>
      <c r="C32" s="344">
        <f>'príjmy '!C63+'príjmy '!C111</f>
        <v>7723268.1199999992</v>
      </c>
      <c r="D32" s="344">
        <f>'príjmy '!D63+'príjmy '!D111</f>
        <v>15856975</v>
      </c>
      <c r="E32" s="693">
        <f>'príjmy '!E63+'príjmy '!E111</f>
        <v>15886934.98</v>
      </c>
    </row>
    <row r="33" spans="1:19" ht="18" x14ac:dyDescent="0.25">
      <c r="A33" s="456" t="s">
        <v>610</v>
      </c>
      <c r="B33" s="344">
        <f>'príjmy '!B127+'príjmy '!B128+'príjmy '!B129+'príjmy '!B130+'príjmy '!B131</f>
        <v>1066594.69</v>
      </c>
      <c r="C33" s="344">
        <f>'príjmy '!C127+'príjmy '!C128+'príjmy '!C129+'príjmy '!C130+'príjmy '!C131</f>
        <v>3617288.68</v>
      </c>
      <c r="D33" s="344">
        <f>'príjmy '!D127+'príjmy '!D128+'príjmy '!D129+'príjmy '!D130+'príjmy '!D131</f>
        <v>837732</v>
      </c>
      <c r="E33" s="344">
        <f>'príjmy '!E127+'príjmy '!E128+'príjmy '!E129+'príjmy '!E130+'príjmy '!E131</f>
        <v>775412.87999999989</v>
      </c>
    </row>
    <row r="34" spans="1:19" ht="18" x14ac:dyDescent="0.25">
      <c r="A34" s="456" t="s">
        <v>611</v>
      </c>
      <c r="B34" s="344">
        <f>'príjmy '!B132+'príjmy '!B133+'príjmy '!B134</f>
        <v>1143986.48</v>
      </c>
      <c r="C34" s="344">
        <f>'príjmy '!C132+'príjmy '!C133+'príjmy '!C134</f>
        <v>664404.09</v>
      </c>
      <c r="D34" s="344">
        <f>'príjmy '!D132+'príjmy '!D133+'príjmy '!D134</f>
        <v>7280285</v>
      </c>
      <c r="E34" s="344">
        <f>'príjmy '!E132+'príjmy '!E133+'príjmy '!E134</f>
        <v>5194005.33</v>
      </c>
    </row>
    <row r="35" spans="1:19" ht="18" x14ac:dyDescent="0.25">
      <c r="A35" s="456" t="s">
        <v>612</v>
      </c>
      <c r="B35" s="344">
        <f t="shared" ref="B35:C35" si="10">B5</f>
        <v>19076711.210000001</v>
      </c>
      <c r="C35" s="344">
        <f t="shared" si="10"/>
        <v>21624169.170000006</v>
      </c>
      <c r="D35" s="344">
        <f t="shared" ref="D35:E35" si="11">D5</f>
        <v>25760853</v>
      </c>
      <c r="E35" s="693">
        <f t="shared" si="11"/>
        <v>24581390.029999994</v>
      </c>
    </row>
    <row r="36" spans="1:19" ht="18" x14ac:dyDescent="0.25">
      <c r="A36" s="456" t="s">
        <v>613</v>
      </c>
      <c r="B36" s="344">
        <f t="shared" ref="B36:C36" si="12">B9</f>
        <v>2465491.37</v>
      </c>
      <c r="C36" s="344">
        <f t="shared" si="12"/>
        <v>3600923.2700000005</v>
      </c>
      <c r="D36" s="344">
        <f t="shared" ref="D36:E36" si="13">D9</f>
        <v>9676429</v>
      </c>
      <c r="E36" s="693">
        <f t="shared" si="13"/>
        <v>8825125.5999999996</v>
      </c>
    </row>
    <row r="37" spans="1:19" ht="18.75" thickBot="1" x14ac:dyDescent="0.3">
      <c r="A37" s="457" t="s">
        <v>614</v>
      </c>
      <c r="B37" s="345">
        <f t="shared" ref="B37:C37" si="14">B13</f>
        <v>212559.69</v>
      </c>
      <c r="C37" s="345">
        <f t="shared" si="14"/>
        <v>993541.5</v>
      </c>
      <c r="D37" s="345">
        <f t="shared" ref="D37:E37" si="15">D13</f>
        <v>3163900</v>
      </c>
      <c r="E37" s="694">
        <f t="shared" si="15"/>
        <v>2900094.3600000003</v>
      </c>
    </row>
    <row r="38" spans="1:19" ht="13.5" thickBot="1" x14ac:dyDescent="0.25">
      <c r="A38" s="796"/>
      <c r="B38" s="101"/>
      <c r="C38" s="101"/>
      <c r="D38" s="101"/>
    </row>
    <row r="39" spans="1:19" ht="36.75" thickBot="1" x14ac:dyDescent="0.3">
      <c r="A39" s="797"/>
      <c r="B39" s="342" t="s">
        <v>587</v>
      </c>
      <c r="C39" s="473" t="s">
        <v>617</v>
      </c>
      <c r="D39" s="477" t="s">
        <v>640</v>
      </c>
      <c r="E39" s="742" t="s">
        <v>645</v>
      </c>
    </row>
    <row r="40" spans="1:19" ht="18" x14ac:dyDescent="0.25">
      <c r="A40" s="458" t="s">
        <v>436</v>
      </c>
      <c r="B40" s="347">
        <f t="shared" ref="B40" si="16">B30+B31+B32+B33+B34</f>
        <v>23444901.140000001</v>
      </c>
      <c r="C40" s="474">
        <f>C30+C31+C32+C33+C34</f>
        <v>26973903.569999997</v>
      </c>
      <c r="D40" s="347">
        <f t="shared" ref="D40:E40" si="17">D30+D31+D32+D33+D34</f>
        <v>40101182</v>
      </c>
      <c r="E40" s="695">
        <f t="shared" si="17"/>
        <v>37854410.780000001</v>
      </c>
    </row>
    <row r="41" spans="1:19" ht="18" x14ac:dyDescent="0.25">
      <c r="A41" s="459" t="s">
        <v>437</v>
      </c>
      <c r="B41" s="344">
        <f t="shared" ref="B41:E41" si="18">B35+B36+B37</f>
        <v>21754762.270000003</v>
      </c>
      <c r="C41" s="475">
        <f t="shared" si="18"/>
        <v>26218633.940000005</v>
      </c>
      <c r="D41" s="344">
        <f t="shared" si="18"/>
        <v>38601182</v>
      </c>
      <c r="E41" s="696">
        <f t="shared" si="18"/>
        <v>36306609.989999995</v>
      </c>
    </row>
    <row r="42" spans="1:19" ht="18.75" thickBot="1" x14ac:dyDescent="0.3">
      <c r="A42" s="460" t="s">
        <v>379</v>
      </c>
      <c r="B42" s="345">
        <f t="shared" ref="B42:E42" si="19">B40-B41</f>
        <v>1690138.8699999973</v>
      </c>
      <c r="C42" s="476">
        <f t="shared" si="19"/>
        <v>755269.62999999151</v>
      </c>
      <c r="D42" s="345">
        <f t="shared" si="19"/>
        <v>1500000</v>
      </c>
      <c r="E42" s="697">
        <f t="shared" si="19"/>
        <v>1547800.7900000066</v>
      </c>
      <c r="F42" s="346"/>
      <c r="G42" s="346"/>
      <c r="H42" s="346"/>
      <c r="I42" s="346"/>
      <c r="J42" s="346"/>
      <c r="K42" s="346"/>
      <c r="L42" s="346"/>
      <c r="M42" s="346"/>
      <c r="N42" s="346"/>
      <c r="O42" s="346"/>
    </row>
    <row r="46" spans="1:19" x14ac:dyDescent="0.2">
      <c r="S46" s="102"/>
    </row>
    <row r="53" ht="58.5" customHeight="1" x14ac:dyDescent="0.2"/>
  </sheetData>
  <sheetProtection selectLockedCells="1" selectUnlockedCells="1"/>
  <mergeCells count="2">
    <mergeCell ref="A38:A39"/>
    <mergeCell ref="A1:E1"/>
  </mergeCells>
  <phoneticPr fontId="0" type="noConversion"/>
  <pageMargins left="0" right="0" top="0" bottom="0" header="0.51181102362204722" footer="0.51181102362204722"/>
  <pageSetup paperSize="9" firstPageNumber="0" fitToHeight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8"/>
  <sheetViews>
    <sheetView zoomScaleNormal="100" workbookViewId="0">
      <selection activeCell="B21" sqref="B21"/>
    </sheetView>
  </sheetViews>
  <sheetFormatPr defaultRowHeight="15.75" x14ac:dyDescent="0.25"/>
  <cols>
    <col min="1" max="1" width="8.85546875" style="753" bestFit="1" customWidth="1"/>
    <col min="2" max="2" width="47" style="753" bestFit="1" customWidth="1"/>
    <col min="3" max="3" width="17.5703125" style="754" bestFit="1" customWidth="1"/>
    <col min="4" max="4" width="17.85546875" style="747" bestFit="1" customWidth="1"/>
  </cols>
  <sheetData>
    <row r="1" spans="1:4" ht="16.5" thickBot="1" x14ac:dyDescent="0.3">
      <c r="A1" s="799" t="s">
        <v>656</v>
      </c>
      <c r="B1" s="799"/>
      <c r="C1" s="799"/>
      <c r="D1" s="799"/>
    </row>
    <row r="2" spans="1:4" s="396" customFormat="1" ht="34.5" customHeight="1" thickBot="1" x14ac:dyDescent="0.3">
      <c r="A2" s="748" t="s">
        <v>598</v>
      </c>
      <c r="B2" s="482" t="s">
        <v>381</v>
      </c>
      <c r="C2" s="488" t="s">
        <v>651</v>
      </c>
      <c r="D2" s="743" t="s">
        <v>658</v>
      </c>
    </row>
    <row r="3" spans="1:4" x14ac:dyDescent="0.25">
      <c r="A3" s="484" t="s">
        <v>438</v>
      </c>
      <c r="B3" s="452" t="s">
        <v>444</v>
      </c>
      <c r="C3" s="489">
        <v>70000</v>
      </c>
      <c r="D3" s="749">
        <v>42935.4</v>
      </c>
    </row>
    <row r="4" spans="1:4" x14ac:dyDescent="0.25">
      <c r="A4" s="485" t="s">
        <v>652</v>
      </c>
      <c r="B4" s="452" t="s">
        <v>653</v>
      </c>
      <c r="C4" s="489">
        <v>138900</v>
      </c>
      <c r="D4" s="750">
        <v>138756</v>
      </c>
    </row>
    <row r="5" spans="1:4" x14ac:dyDescent="0.25">
      <c r="A5" s="800" t="s">
        <v>559</v>
      </c>
      <c r="B5" s="452" t="s">
        <v>669</v>
      </c>
      <c r="C5" s="489">
        <v>2100</v>
      </c>
      <c r="D5" s="750">
        <v>2035.2</v>
      </c>
    </row>
    <row r="6" spans="1:4" x14ac:dyDescent="0.25">
      <c r="A6" s="801"/>
      <c r="B6" s="452" t="s">
        <v>668</v>
      </c>
      <c r="C6" s="489">
        <v>15000</v>
      </c>
      <c r="D6" s="750">
        <v>14901.41</v>
      </c>
    </row>
    <row r="7" spans="1:4" x14ac:dyDescent="0.25">
      <c r="A7" s="802"/>
      <c r="B7" s="411" t="s">
        <v>439</v>
      </c>
      <c r="C7" s="490">
        <v>115000</v>
      </c>
      <c r="D7" s="750">
        <v>115000</v>
      </c>
    </row>
    <row r="8" spans="1:4" x14ac:dyDescent="0.25">
      <c r="A8" s="800" t="s">
        <v>440</v>
      </c>
      <c r="B8" s="411" t="s">
        <v>556</v>
      </c>
      <c r="C8" s="490">
        <v>227000</v>
      </c>
      <c r="D8" s="750">
        <v>226899.96</v>
      </c>
    </row>
    <row r="9" spans="1:4" x14ac:dyDescent="0.25">
      <c r="A9" s="801"/>
      <c r="B9" s="411" t="s">
        <v>633</v>
      </c>
      <c r="C9" s="490">
        <v>16800</v>
      </c>
      <c r="D9" s="750">
        <v>16758.580000000002</v>
      </c>
    </row>
    <row r="10" spans="1:4" x14ac:dyDescent="0.25">
      <c r="A10" s="801"/>
      <c r="B10" s="411" t="s">
        <v>671</v>
      </c>
      <c r="C10" s="490">
        <v>49160</v>
      </c>
      <c r="D10" s="750">
        <v>49156.800000000003</v>
      </c>
    </row>
    <row r="11" spans="1:4" x14ac:dyDescent="0.25">
      <c r="A11" s="802"/>
      <c r="B11" s="411" t="s">
        <v>654</v>
      </c>
      <c r="C11" s="490">
        <v>6118900</v>
      </c>
      <c r="D11" s="750">
        <v>6044231.4500000002</v>
      </c>
    </row>
    <row r="12" spans="1:4" x14ac:dyDescent="0.25">
      <c r="A12" s="800" t="s">
        <v>660</v>
      </c>
      <c r="B12" s="411" t="s">
        <v>776</v>
      </c>
      <c r="C12" s="490">
        <v>9000</v>
      </c>
      <c r="D12" s="750">
        <v>9000</v>
      </c>
    </row>
    <row r="13" spans="1:4" x14ac:dyDescent="0.25">
      <c r="A13" s="801"/>
      <c r="B13" s="411" t="s">
        <v>777</v>
      </c>
      <c r="C13" s="490">
        <v>11000</v>
      </c>
      <c r="D13" s="750">
        <v>10928</v>
      </c>
    </row>
    <row r="14" spans="1:4" ht="30.75" customHeight="1" x14ac:dyDescent="0.25">
      <c r="A14" s="801"/>
      <c r="B14" s="762" t="s">
        <v>779</v>
      </c>
      <c r="C14" s="490">
        <v>9721</v>
      </c>
      <c r="D14" s="750">
        <f>2720.4+6780</f>
        <v>9500.4</v>
      </c>
    </row>
    <row r="15" spans="1:4" x14ac:dyDescent="0.25">
      <c r="A15" s="801"/>
      <c r="B15" s="411" t="s">
        <v>662</v>
      </c>
      <c r="C15" s="490">
        <f>11732+765</f>
        <v>12497</v>
      </c>
      <c r="D15" s="750">
        <v>12496.8</v>
      </c>
    </row>
    <row r="16" spans="1:4" ht="32.25" customHeight="1" x14ac:dyDescent="0.25">
      <c r="A16" s="801"/>
      <c r="B16" s="762" t="s">
        <v>778</v>
      </c>
      <c r="C16" s="490">
        <v>28746</v>
      </c>
      <c r="D16" s="750">
        <v>28744.720000000001</v>
      </c>
    </row>
    <row r="17" spans="1:4" x14ac:dyDescent="0.25">
      <c r="A17" s="801"/>
      <c r="B17" s="411" t="s">
        <v>677</v>
      </c>
      <c r="C17" s="490">
        <v>60000</v>
      </c>
      <c r="D17" s="750">
        <v>0</v>
      </c>
    </row>
    <row r="18" spans="1:4" x14ac:dyDescent="0.25">
      <c r="A18" s="486" t="s">
        <v>445</v>
      </c>
      <c r="B18" s="412" t="s">
        <v>781</v>
      </c>
      <c r="C18" s="490">
        <v>85005</v>
      </c>
      <c r="D18" s="750">
        <v>78005</v>
      </c>
    </row>
    <row r="19" spans="1:4" x14ac:dyDescent="0.25">
      <c r="A19" s="800" t="s">
        <v>672</v>
      </c>
      <c r="B19" s="412" t="s">
        <v>591</v>
      </c>
      <c r="C19" s="490">
        <v>494000</v>
      </c>
      <c r="D19" s="750">
        <v>493591.93</v>
      </c>
    </row>
    <row r="20" spans="1:4" x14ac:dyDescent="0.25">
      <c r="A20" s="802"/>
      <c r="B20" s="412" t="s">
        <v>673</v>
      </c>
      <c r="C20" s="490">
        <v>4000</v>
      </c>
      <c r="D20" s="750">
        <v>3993</v>
      </c>
    </row>
    <row r="21" spans="1:4" x14ac:dyDescent="0.25">
      <c r="A21" s="800" t="s">
        <v>578</v>
      </c>
      <c r="B21" s="412" t="s">
        <v>655</v>
      </c>
      <c r="C21" s="490">
        <f>26500+40000</f>
        <v>66500</v>
      </c>
      <c r="D21" s="750">
        <v>66008.3</v>
      </c>
    </row>
    <row r="22" spans="1:4" x14ac:dyDescent="0.25">
      <c r="A22" s="801"/>
      <c r="B22" s="412" t="s">
        <v>782</v>
      </c>
      <c r="C22" s="490">
        <v>352500</v>
      </c>
      <c r="D22" s="750">
        <v>352011.9</v>
      </c>
    </row>
    <row r="23" spans="1:4" x14ac:dyDescent="0.25">
      <c r="A23" s="801"/>
      <c r="B23" s="412" t="s">
        <v>678</v>
      </c>
      <c r="C23" s="490">
        <v>4500</v>
      </c>
      <c r="D23" s="750">
        <v>4008</v>
      </c>
    </row>
    <row r="24" spans="1:4" x14ac:dyDescent="0.25">
      <c r="A24" s="802"/>
      <c r="B24" s="411" t="s">
        <v>629</v>
      </c>
      <c r="C24" s="490">
        <v>911660</v>
      </c>
      <c r="D24" s="750">
        <v>257695.22</v>
      </c>
    </row>
    <row r="25" spans="1:4" x14ac:dyDescent="0.25">
      <c r="A25" s="800" t="s">
        <v>620</v>
      </c>
      <c r="B25" s="411" t="s">
        <v>670</v>
      </c>
      <c r="C25" s="490">
        <v>11000</v>
      </c>
      <c r="D25" s="750">
        <v>0</v>
      </c>
    </row>
    <row r="26" spans="1:4" x14ac:dyDescent="0.25">
      <c r="A26" s="801"/>
      <c r="B26" s="411" t="s">
        <v>661</v>
      </c>
      <c r="C26" s="490">
        <v>16640</v>
      </c>
      <c r="D26" s="750">
        <v>16639.14</v>
      </c>
    </row>
    <row r="27" spans="1:4" x14ac:dyDescent="0.25">
      <c r="A27" s="802"/>
      <c r="B27" s="411" t="s">
        <v>536</v>
      </c>
      <c r="C27" s="490">
        <v>10000</v>
      </c>
      <c r="D27" s="750">
        <v>9980</v>
      </c>
    </row>
    <row r="28" spans="1:4" x14ac:dyDescent="0.25">
      <c r="A28" s="801" t="s">
        <v>441</v>
      </c>
      <c r="B28" s="413" t="s">
        <v>621</v>
      </c>
      <c r="C28" s="491">
        <v>753400</v>
      </c>
      <c r="D28" s="750">
        <v>739055.06</v>
      </c>
    </row>
    <row r="29" spans="1:4" x14ac:dyDescent="0.25">
      <c r="A29" s="801"/>
      <c r="B29" s="413" t="s">
        <v>679</v>
      </c>
      <c r="C29" s="491">
        <v>83400</v>
      </c>
      <c r="D29" s="751">
        <v>82793.33</v>
      </c>
    </row>
    <row r="30" spans="1:4" ht="16.5" thickBot="1" x14ac:dyDescent="0.3">
      <c r="A30" s="803"/>
      <c r="B30" s="413" t="s">
        <v>442</v>
      </c>
      <c r="C30" s="492">
        <v>0</v>
      </c>
      <c r="D30" s="751">
        <v>0</v>
      </c>
    </row>
    <row r="31" spans="1:4" s="348" customFormat="1" ht="16.5" thickBot="1" x14ac:dyDescent="0.3">
      <c r="A31" s="487"/>
      <c r="B31" s="483" t="s">
        <v>443</v>
      </c>
      <c r="C31" s="493">
        <f>SUM(C3:C30)</f>
        <v>9676429</v>
      </c>
      <c r="D31" s="752">
        <f>SUM(D3:D30)</f>
        <v>8825125.5999999996</v>
      </c>
    </row>
    <row r="38" spans="1:4" s="348" customFormat="1" x14ac:dyDescent="0.25">
      <c r="A38" s="744"/>
      <c r="B38" s="744"/>
      <c r="C38" s="745"/>
      <c r="D38" s="746"/>
    </row>
  </sheetData>
  <mergeCells count="8">
    <mergeCell ref="A1:D1"/>
    <mergeCell ref="A8:A11"/>
    <mergeCell ref="A21:A24"/>
    <mergeCell ref="A28:A30"/>
    <mergeCell ref="A5:A7"/>
    <mergeCell ref="A25:A27"/>
    <mergeCell ref="A12:A17"/>
    <mergeCell ref="A19:A20"/>
  </mergeCells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3D904-834F-4D9D-B019-9FA010DA0A5E}">
  <dimension ref="A1:M26"/>
  <sheetViews>
    <sheetView tabSelected="1" topLeftCell="A10" workbookViewId="0">
      <selection activeCell="H14" activeCellId="5" sqref="H9 H10 H11 H12 H13 H14"/>
    </sheetView>
  </sheetViews>
  <sheetFormatPr defaultRowHeight="15" x14ac:dyDescent="0.25"/>
  <cols>
    <col min="2" max="2" width="19.28515625" customWidth="1"/>
    <col min="3" max="3" width="15.5703125" customWidth="1"/>
    <col min="4" max="8" width="15.7109375" customWidth="1"/>
    <col min="10" max="10" width="12" customWidth="1"/>
    <col min="11" max="11" width="50.7109375" customWidth="1"/>
    <col min="12" max="13" width="18.85546875" customWidth="1"/>
  </cols>
  <sheetData>
    <row r="1" spans="1:13" ht="28.5" thickBot="1" x14ac:dyDescent="0.45">
      <c r="A1" s="804" t="s">
        <v>684</v>
      </c>
      <c r="B1" s="804"/>
      <c r="C1" s="804"/>
      <c r="D1" s="804"/>
      <c r="E1" s="804"/>
      <c r="F1" s="804"/>
      <c r="G1" s="804"/>
      <c r="H1" s="804"/>
      <c r="I1" s="804"/>
      <c r="J1" s="804"/>
      <c r="K1" s="804"/>
      <c r="L1" s="804"/>
      <c r="M1" s="804"/>
    </row>
    <row r="2" spans="1:13" x14ac:dyDescent="0.25">
      <c r="A2" s="805" t="s">
        <v>685</v>
      </c>
      <c r="B2" s="808" t="s">
        <v>686</v>
      </c>
      <c r="C2" s="808" t="s">
        <v>687</v>
      </c>
      <c r="D2" s="808" t="s">
        <v>688</v>
      </c>
      <c r="E2" s="811" t="s">
        <v>689</v>
      </c>
      <c r="F2" s="814" t="s">
        <v>690</v>
      </c>
      <c r="G2" s="814" t="s">
        <v>691</v>
      </c>
      <c r="H2" s="814" t="s">
        <v>692</v>
      </c>
      <c r="I2" s="817" t="s">
        <v>693</v>
      </c>
      <c r="J2" s="820" t="s">
        <v>694</v>
      </c>
      <c r="K2" s="811" t="s">
        <v>695</v>
      </c>
      <c r="L2" s="825" t="s">
        <v>696</v>
      </c>
      <c r="M2" s="828" t="s">
        <v>697</v>
      </c>
    </row>
    <row r="3" spans="1:13" x14ac:dyDescent="0.25">
      <c r="A3" s="806"/>
      <c r="B3" s="809"/>
      <c r="C3" s="809"/>
      <c r="D3" s="809"/>
      <c r="E3" s="812"/>
      <c r="F3" s="815"/>
      <c r="G3" s="815"/>
      <c r="H3" s="815"/>
      <c r="I3" s="818"/>
      <c r="J3" s="821"/>
      <c r="K3" s="823"/>
      <c r="L3" s="826"/>
      <c r="M3" s="829"/>
    </row>
    <row r="4" spans="1:13" ht="15.75" thickBot="1" x14ac:dyDescent="0.3">
      <c r="A4" s="807"/>
      <c r="B4" s="810"/>
      <c r="C4" s="810"/>
      <c r="D4" s="810"/>
      <c r="E4" s="813"/>
      <c r="F4" s="816"/>
      <c r="G4" s="816"/>
      <c r="H4" s="816"/>
      <c r="I4" s="819"/>
      <c r="J4" s="822"/>
      <c r="K4" s="824"/>
      <c r="L4" s="827"/>
      <c r="M4" s="830"/>
    </row>
    <row r="5" spans="1:13" ht="33.75" x14ac:dyDescent="0.25">
      <c r="A5" s="708" t="s">
        <v>438</v>
      </c>
      <c r="B5" s="709" t="s">
        <v>704</v>
      </c>
      <c r="C5" s="709" t="s">
        <v>705</v>
      </c>
      <c r="D5" s="710">
        <v>37365</v>
      </c>
      <c r="E5" s="711" t="s">
        <v>700</v>
      </c>
      <c r="F5" s="712">
        <v>680818.00000000012</v>
      </c>
      <c r="G5" s="712">
        <v>632303.4</v>
      </c>
      <c r="H5" s="702">
        <f>G5-M5</f>
        <v>581834.62</v>
      </c>
      <c r="I5" s="713">
        <v>3.9E-2</v>
      </c>
      <c r="J5" s="714" t="s">
        <v>706</v>
      </c>
      <c r="K5" s="715" t="s">
        <v>702</v>
      </c>
      <c r="L5" s="716">
        <v>24098.38</v>
      </c>
      <c r="M5" s="717">
        <v>50468.78</v>
      </c>
    </row>
    <row r="6" spans="1:13" ht="33.75" x14ac:dyDescent="0.25">
      <c r="A6" s="698" t="s">
        <v>703</v>
      </c>
      <c r="B6" s="699" t="s">
        <v>698</v>
      </c>
      <c r="C6" s="699" t="s">
        <v>699</v>
      </c>
      <c r="D6" s="700">
        <v>37354</v>
      </c>
      <c r="E6" s="701" t="s">
        <v>700</v>
      </c>
      <c r="F6" s="702">
        <v>271365.03000000003</v>
      </c>
      <c r="G6" s="702">
        <v>252292.55</v>
      </c>
      <c r="H6" s="702">
        <f>G6-M6</f>
        <v>232451.81999999998</v>
      </c>
      <c r="I6" s="703">
        <v>3.9E-2</v>
      </c>
      <c r="J6" s="704" t="s">
        <v>701</v>
      </c>
      <c r="K6" s="705" t="s">
        <v>702</v>
      </c>
      <c r="L6" s="706">
        <v>9620.7099999999991</v>
      </c>
      <c r="M6" s="707">
        <v>19840.73</v>
      </c>
    </row>
    <row r="7" spans="1:13" ht="33.75" x14ac:dyDescent="0.25">
      <c r="A7" s="718" t="s">
        <v>652</v>
      </c>
      <c r="B7" s="719" t="s">
        <v>707</v>
      </c>
      <c r="C7" s="719" t="s">
        <v>708</v>
      </c>
      <c r="D7" s="720">
        <v>42740</v>
      </c>
      <c r="E7" s="721" t="s">
        <v>709</v>
      </c>
      <c r="F7" s="712">
        <v>1416133.78</v>
      </c>
      <c r="G7" s="712">
        <v>1384406.53</v>
      </c>
      <c r="H7" s="702">
        <f t="shared" ref="H7" si="0">G7-M7</f>
        <v>1352355.99</v>
      </c>
      <c r="I7" s="713">
        <v>0.01</v>
      </c>
      <c r="J7" s="714" t="s">
        <v>710</v>
      </c>
      <c r="K7" s="722" t="s">
        <v>711</v>
      </c>
      <c r="L7" s="716">
        <v>13888.34</v>
      </c>
      <c r="M7" s="717">
        <v>32050.54</v>
      </c>
    </row>
    <row r="8" spans="1:13" ht="33.75" x14ac:dyDescent="0.25">
      <c r="A8" s="718" t="s">
        <v>712</v>
      </c>
      <c r="B8" s="719" t="s">
        <v>713</v>
      </c>
      <c r="C8" s="719" t="s">
        <v>714</v>
      </c>
      <c r="D8" s="720">
        <v>42908</v>
      </c>
      <c r="E8" s="721" t="s">
        <v>715</v>
      </c>
      <c r="F8" s="712">
        <v>4857088.6800000006</v>
      </c>
      <c r="G8" s="712">
        <v>4751584.96</v>
      </c>
      <c r="H8" s="702">
        <f>G8-M8</f>
        <v>4645006.22</v>
      </c>
      <c r="I8" s="713">
        <v>0.01</v>
      </c>
      <c r="J8" s="714" t="s">
        <v>716</v>
      </c>
      <c r="K8" s="722" t="s">
        <v>717</v>
      </c>
      <c r="L8" s="716">
        <v>47683.66</v>
      </c>
      <c r="M8" s="717">
        <v>106578.74</v>
      </c>
    </row>
    <row r="9" spans="1:13" ht="241.5" customHeight="1" x14ac:dyDescent="0.25">
      <c r="A9" s="708" t="s">
        <v>559</v>
      </c>
      <c r="B9" s="709" t="s">
        <v>718</v>
      </c>
      <c r="C9" s="723" t="s">
        <v>719</v>
      </c>
      <c r="D9" s="710">
        <v>43816</v>
      </c>
      <c r="E9" s="724" t="s">
        <v>720</v>
      </c>
      <c r="F9" s="712">
        <v>5582567.8700000001</v>
      </c>
      <c r="G9" s="712">
        <v>5373405.3499999996</v>
      </c>
      <c r="H9" s="702">
        <f>G9-M9</f>
        <v>4925621.3499999996</v>
      </c>
      <c r="I9" s="725" t="s">
        <v>721</v>
      </c>
      <c r="J9" s="714" t="s">
        <v>722</v>
      </c>
      <c r="K9" s="726" t="s">
        <v>723</v>
      </c>
      <c r="L9" s="716">
        <v>161460.76999999999</v>
      </c>
      <c r="M9" s="591">
        <v>447784</v>
      </c>
    </row>
    <row r="10" spans="1:13" ht="56.25" x14ac:dyDescent="0.25">
      <c r="A10" s="708" t="s">
        <v>724</v>
      </c>
      <c r="B10" s="709" t="s">
        <v>756</v>
      </c>
      <c r="C10" s="723">
        <v>500000</v>
      </c>
      <c r="D10" s="710">
        <v>44600</v>
      </c>
      <c r="E10" s="724" t="s">
        <v>751</v>
      </c>
      <c r="F10" s="712">
        <v>0</v>
      </c>
      <c r="G10" s="712">
        <v>425782.61</v>
      </c>
      <c r="H10" s="712">
        <v>500000</v>
      </c>
      <c r="I10" s="725" t="s">
        <v>726</v>
      </c>
      <c r="J10" s="714" t="s">
        <v>727</v>
      </c>
      <c r="K10" s="726" t="s">
        <v>728</v>
      </c>
      <c r="L10" s="716">
        <v>15146.41</v>
      </c>
      <c r="M10" s="591">
        <v>0</v>
      </c>
    </row>
    <row r="11" spans="1:13" ht="45" x14ac:dyDescent="0.25">
      <c r="A11" s="708" t="s">
        <v>440</v>
      </c>
      <c r="B11" s="709" t="s">
        <v>729</v>
      </c>
      <c r="C11" s="723" t="s">
        <v>769</v>
      </c>
      <c r="D11" s="710">
        <v>45008</v>
      </c>
      <c r="E11" s="724" t="s">
        <v>754</v>
      </c>
      <c r="F11" s="712">
        <v>0</v>
      </c>
      <c r="G11" s="712">
        <v>0</v>
      </c>
      <c r="H11" s="712">
        <v>1017459.32</v>
      </c>
      <c r="I11" s="725" t="s">
        <v>752</v>
      </c>
      <c r="J11" s="714" t="s">
        <v>753</v>
      </c>
      <c r="K11" s="726" t="s">
        <v>755</v>
      </c>
      <c r="L11" s="716">
        <v>16293.94</v>
      </c>
      <c r="M11" s="591">
        <v>0</v>
      </c>
    </row>
    <row r="12" spans="1:13" ht="22.5" x14ac:dyDescent="0.25">
      <c r="A12" s="708" t="s">
        <v>734</v>
      </c>
      <c r="B12" s="709" t="s">
        <v>763</v>
      </c>
      <c r="C12" s="723" t="s">
        <v>770</v>
      </c>
      <c r="D12" s="710">
        <v>43013</v>
      </c>
      <c r="E12" s="724" t="s">
        <v>764</v>
      </c>
      <c r="F12" s="712">
        <v>792420.09</v>
      </c>
      <c r="G12" s="712">
        <v>677420.09</v>
      </c>
      <c r="H12" s="712">
        <v>562420.09</v>
      </c>
      <c r="I12" s="725" t="s">
        <v>732</v>
      </c>
      <c r="J12" s="714" t="s">
        <v>759</v>
      </c>
      <c r="K12" s="726" t="s">
        <v>757</v>
      </c>
      <c r="L12" s="716">
        <v>0</v>
      </c>
      <c r="M12" s="591">
        <v>115000</v>
      </c>
    </row>
    <row r="13" spans="1:13" ht="22.5" x14ac:dyDescent="0.25">
      <c r="A13" s="708" t="s">
        <v>660</v>
      </c>
      <c r="B13" s="709" t="s">
        <v>761</v>
      </c>
      <c r="C13" s="723" t="s">
        <v>771</v>
      </c>
      <c r="D13" s="710">
        <v>44544</v>
      </c>
      <c r="E13" s="724" t="s">
        <v>762</v>
      </c>
      <c r="F13" s="712">
        <v>2250091.67</v>
      </c>
      <c r="G13" s="712">
        <v>2023191.74</v>
      </c>
      <c r="H13" s="712">
        <v>1796291.78</v>
      </c>
      <c r="I13" s="725" t="s">
        <v>732</v>
      </c>
      <c r="J13" s="714" t="s">
        <v>760</v>
      </c>
      <c r="K13" s="726" t="s">
        <v>758</v>
      </c>
      <c r="L13" s="716">
        <v>0</v>
      </c>
      <c r="M13" s="591">
        <v>226899.96</v>
      </c>
    </row>
    <row r="14" spans="1:13" ht="22.5" x14ac:dyDescent="0.25">
      <c r="A14" s="708" t="s">
        <v>445</v>
      </c>
      <c r="B14" s="709" t="s">
        <v>768</v>
      </c>
      <c r="C14" s="723" t="s">
        <v>772</v>
      </c>
      <c r="D14" s="710">
        <v>44704</v>
      </c>
      <c r="E14" s="724" t="s">
        <v>765</v>
      </c>
      <c r="F14" s="712">
        <v>0</v>
      </c>
      <c r="G14" s="712">
        <v>1480775.77</v>
      </c>
      <c r="H14" s="712">
        <v>987183.84</v>
      </c>
      <c r="I14" s="725" t="s">
        <v>732</v>
      </c>
      <c r="J14" s="714" t="s">
        <v>766</v>
      </c>
      <c r="K14" s="726" t="s">
        <v>767</v>
      </c>
      <c r="L14" s="716">
        <v>0</v>
      </c>
      <c r="M14" s="591">
        <v>493591.93</v>
      </c>
    </row>
    <row r="15" spans="1:13" ht="45" x14ac:dyDescent="0.25">
      <c r="A15" s="708" t="s">
        <v>672</v>
      </c>
      <c r="B15" s="709" t="s">
        <v>730</v>
      </c>
      <c r="C15" s="723" t="s">
        <v>773</v>
      </c>
      <c r="D15" s="710">
        <v>44120</v>
      </c>
      <c r="E15" s="724" t="s">
        <v>731</v>
      </c>
      <c r="F15" s="712">
        <v>474914</v>
      </c>
      <c r="G15" s="712">
        <v>474914</v>
      </c>
      <c r="H15" s="712">
        <v>0</v>
      </c>
      <c r="I15" s="725" t="s">
        <v>732</v>
      </c>
      <c r="J15" s="714" t="s">
        <v>747</v>
      </c>
      <c r="K15" s="726" t="s">
        <v>733</v>
      </c>
      <c r="L15" s="716">
        <v>0</v>
      </c>
      <c r="M15" s="591">
        <v>0</v>
      </c>
    </row>
    <row r="16" spans="1:13" ht="45" x14ac:dyDescent="0.25">
      <c r="A16" s="708" t="s">
        <v>578</v>
      </c>
      <c r="B16" s="709" t="s">
        <v>735</v>
      </c>
      <c r="C16" s="723" t="s">
        <v>774</v>
      </c>
      <c r="D16" s="710">
        <v>43816</v>
      </c>
      <c r="E16" s="724" t="s">
        <v>725</v>
      </c>
      <c r="F16" s="712">
        <v>0</v>
      </c>
      <c r="G16" s="712">
        <v>0</v>
      </c>
      <c r="H16" s="712">
        <v>0</v>
      </c>
      <c r="I16" s="725" t="s">
        <v>736</v>
      </c>
      <c r="J16" s="714"/>
      <c r="K16" s="726"/>
      <c r="L16" s="716">
        <v>3750.58</v>
      </c>
      <c r="M16" s="591">
        <v>0</v>
      </c>
    </row>
    <row r="17" spans="1:13" ht="45.75" thickBot="1" x14ac:dyDescent="0.3">
      <c r="A17" s="727" t="s">
        <v>620</v>
      </c>
      <c r="B17" s="709" t="s">
        <v>737</v>
      </c>
      <c r="C17" s="728" t="s">
        <v>775</v>
      </c>
      <c r="D17" s="729">
        <v>45275</v>
      </c>
      <c r="E17" s="730" t="s">
        <v>748</v>
      </c>
      <c r="F17" s="731">
        <v>318826.89</v>
      </c>
      <c r="G17" s="731">
        <v>0</v>
      </c>
      <c r="H17" s="731">
        <v>1865001.63</v>
      </c>
      <c r="I17" s="732" t="s">
        <v>749</v>
      </c>
      <c r="J17" s="733" t="s">
        <v>738</v>
      </c>
      <c r="K17" s="734" t="s">
        <v>750</v>
      </c>
      <c r="L17" s="548">
        <v>0</v>
      </c>
      <c r="M17" s="613">
        <v>0</v>
      </c>
    </row>
    <row r="18" spans="1:13" ht="15.75" thickBot="1" x14ac:dyDescent="0.3">
      <c r="A18" s="831" t="s">
        <v>639</v>
      </c>
      <c r="B18" s="832"/>
      <c r="C18" s="832"/>
      <c r="D18" s="832"/>
      <c r="E18" s="832"/>
      <c r="F18" s="735">
        <f>SUM(F5:F17)</f>
        <v>16644226.01</v>
      </c>
      <c r="G18" s="735">
        <f>SUM(G5:G17)</f>
        <v>17476077</v>
      </c>
      <c r="H18" s="735">
        <f>SUM(H5:H17)</f>
        <v>18465626.66</v>
      </c>
      <c r="I18" s="833"/>
      <c r="J18" s="833"/>
      <c r="K18" s="736"/>
      <c r="L18" s="737">
        <f>SUM(L5:L17)</f>
        <v>291942.78999999998</v>
      </c>
      <c r="M18" s="738">
        <f>SUM(M5:M17)</f>
        <v>1492214.68</v>
      </c>
    </row>
    <row r="19" spans="1:13" x14ac:dyDescent="0.25">
      <c r="A19" s="834" t="s">
        <v>739</v>
      </c>
      <c r="B19" s="835"/>
      <c r="C19" s="835"/>
      <c r="D19" s="835"/>
      <c r="E19" s="835"/>
      <c r="F19" s="835"/>
      <c r="G19" s="835"/>
      <c r="H19" s="835"/>
      <c r="I19" s="835"/>
      <c r="J19" s="835"/>
      <c r="K19" s="836"/>
      <c r="L19" s="837">
        <f>H9+H10+H11+H12+H13+H14</f>
        <v>9788976.379999999</v>
      </c>
      <c r="M19" s="838"/>
    </row>
    <row r="20" spans="1:13" x14ac:dyDescent="0.25">
      <c r="A20" s="839" t="s">
        <v>740</v>
      </c>
      <c r="B20" s="840"/>
      <c r="C20" s="840"/>
      <c r="D20" s="840"/>
      <c r="E20" s="840"/>
      <c r="F20" s="840"/>
      <c r="G20" s="840"/>
      <c r="H20" s="840"/>
      <c r="I20" s="840"/>
      <c r="J20" s="840"/>
      <c r="K20" s="841"/>
      <c r="L20" s="837">
        <f>M18+L18</f>
        <v>1784157.47</v>
      </c>
      <c r="M20" s="838"/>
    </row>
    <row r="21" spans="1:13" x14ac:dyDescent="0.25">
      <c r="A21" s="842" t="s">
        <v>741</v>
      </c>
      <c r="B21" s="843"/>
      <c r="C21" s="843"/>
      <c r="D21" s="843"/>
      <c r="E21" s="843"/>
      <c r="F21" s="843"/>
      <c r="G21" s="843"/>
      <c r="H21" s="843"/>
      <c r="I21" s="843"/>
      <c r="J21" s="843"/>
      <c r="K21" s="844"/>
      <c r="L21" s="837">
        <v>22156124.280000001</v>
      </c>
      <c r="M21" s="838"/>
    </row>
    <row r="22" spans="1:13" x14ac:dyDescent="0.25">
      <c r="A22" s="842" t="s">
        <v>742</v>
      </c>
      <c r="B22" s="843"/>
      <c r="C22" s="843"/>
      <c r="D22" s="843"/>
      <c r="E22" s="843"/>
      <c r="F22" s="843"/>
      <c r="G22" s="843"/>
      <c r="H22" s="843"/>
      <c r="I22" s="843"/>
      <c r="J22" s="843"/>
      <c r="K22" s="844"/>
      <c r="L22" s="837">
        <v>14869466.890000001</v>
      </c>
      <c r="M22" s="838"/>
    </row>
    <row r="23" spans="1:13" x14ac:dyDescent="0.25">
      <c r="A23" s="842" t="s">
        <v>743</v>
      </c>
      <c r="B23" s="843"/>
      <c r="C23" s="843"/>
      <c r="D23" s="843"/>
      <c r="E23" s="843"/>
      <c r="F23" s="843"/>
      <c r="G23" s="843"/>
      <c r="H23" s="843"/>
      <c r="I23" s="843"/>
      <c r="J23" s="843"/>
      <c r="K23" s="844"/>
      <c r="L23" s="837">
        <v>15993416.59</v>
      </c>
      <c r="M23" s="838"/>
    </row>
    <row r="24" spans="1:13" ht="18.75" x14ac:dyDescent="0.3">
      <c r="A24" s="855" t="s">
        <v>744</v>
      </c>
      <c r="B24" s="856"/>
      <c r="C24" s="856"/>
      <c r="D24" s="856"/>
      <c r="E24" s="856"/>
      <c r="F24" s="856"/>
      <c r="G24" s="856"/>
      <c r="H24" s="856"/>
      <c r="I24" s="856"/>
      <c r="J24" s="856"/>
      <c r="K24" s="857"/>
      <c r="L24" s="848">
        <f>L19/L21</f>
        <v>0.44181808407873757</v>
      </c>
      <c r="M24" s="849"/>
    </row>
    <row r="25" spans="1:13" ht="18.75" x14ac:dyDescent="0.3">
      <c r="A25" s="845" t="s">
        <v>745</v>
      </c>
      <c r="B25" s="846"/>
      <c r="C25" s="846"/>
      <c r="D25" s="846"/>
      <c r="E25" s="846"/>
      <c r="F25" s="846"/>
      <c r="G25" s="846"/>
      <c r="H25" s="846"/>
      <c r="I25" s="846"/>
      <c r="J25" s="846"/>
      <c r="K25" s="847"/>
      <c r="L25" s="848">
        <f>L20/L22</f>
        <v>0.11998799171474532</v>
      </c>
      <c r="M25" s="849"/>
    </row>
    <row r="26" spans="1:13" ht="19.5" thickBot="1" x14ac:dyDescent="0.35">
      <c r="A26" s="850" t="s">
        <v>746</v>
      </c>
      <c r="B26" s="851"/>
      <c r="C26" s="851"/>
      <c r="D26" s="851"/>
      <c r="E26" s="851"/>
      <c r="F26" s="851"/>
      <c r="G26" s="851"/>
      <c r="H26" s="851"/>
      <c r="I26" s="851"/>
      <c r="J26" s="851"/>
      <c r="K26" s="852"/>
      <c r="L26" s="853">
        <f>L20/L23</f>
        <v>0.11155574294960574</v>
      </c>
      <c r="M26" s="854"/>
    </row>
  </sheetData>
  <mergeCells count="32">
    <mergeCell ref="A21:K21"/>
    <mergeCell ref="L21:M21"/>
    <mergeCell ref="A25:K25"/>
    <mergeCell ref="L25:M25"/>
    <mergeCell ref="A26:K26"/>
    <mergeCell ref="L26:M26"/>
    <mergeCell ref="A22:K22"/>
    <mergeCell ref="L22:M22"/>
    <mergeCell ref="A23:K23"/>
    <mergeCell ref="L23:M23"/>
    <mergeCell ref="A24:K24"/>
    <mergeCell ref="L24:M24"/>
    <mergeCell ref="A18:E18"/>
    <mergeCell ref="I18:J18"/>
    <mergeCell ref="A19:K19"/>
    <mergeCell ref="L19:M19"/>
    <mergeCell ref="A20:K20"/>
    <mergeCell ref="L20:M20"/>
    <mergeCell ref="A1:M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</mergeCells>
  <pageMargins left="0.7" right="0.7" top="0.75" bottom="0.75" header="0.3" footer="0.3"/>
  <pageSetup paperSize="9" scale="5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D319B-C606-4851-B0E7-9BB684163AA3}">
  <dimension ref="A1:Z59"/>
  <sheetViews>
    <sheetView topLeftCell="G13" workbookViewId="0">
      <selection sqref="A1:V1"/>
    </sheetView>
  </sheetViews>
  <sheetFormatPr defaultRowHeight="15" x14ac:dyDescent="0.25"/>
  <cols>
    <col min="1" max="1" width="6.140625" style="434" customWidth="1"/>
    <col min="2" max="2" width="23.42578125" style="434" bestFit="1" customWidth="1"/>
    <col min="3" max="3" width="11.7109375" style="507" bestFit="1" customWidth="1"/>
    <col min="4" max="4" width="13.140625" style="507" bestFit="1" customWidth="1"/>
    <col min="5" max="5" width="11.28515625" style="507" bestFit="1" customWidth="1"/>
    <col min="6" max="6" width="13.140625" style="507" bestFit="1" customWidth="1"/>
    <col min="7" max="7" width="13.28515625" style="507" customWidth="1"/>
    <col min="8" max="8" width="12.7109375" style="507" customWidth="1"/>
    <col min="9" max="9" width="11.28515625" style="507" bestFit="1" customWidth="1"/>
    <col min="10" max="10" width="14.28515625" style="507" bestFit="1" customWidth="1"/>
    <col min="11" max="11" width="15.7109375" style="507" customWidth="1"/>
    <col min="12" max="12" width="10.140625" style="507" bestFit="1" customWidth="1"/>
    <col min="13" max="13" width="14.42578125" style="507" customWidth="1"/>
    <col min="14" max="14" width="14.28515625" style="507" bestFit="1" customWidth="1"/>
    <col min="15" max="15" width="17.7109375" style="507" bestFit="1" customWidth="1"/>
    <col min="16" max="17" width="16.140625" style="507" bestFit="1" customWidth="1"/>
    <col min="18" max="18" width="10.140625" style="507" customWidth="1"/>
    <col min="19" max="19" width="9.7109375" style="507" customWidth="1"/>
    <col min="20" max="20" width="10.85546875" style="507" bestFit="1" customWidth="1"/>
    <col min="21" max="21" width="16.140625" style="470" customWidth="1"/>
    <col min="22" max="22" width="16.140625" style="470" bestFit="1" customWidth="1"/>
    <col min="23" max="23" width="9.140625" style="470"/>
  </cols>
  <sheetData>
    <row r="1" spans="1:23" s="434" customFormat="1" ht="16.5" customHeight="1" thickBot="1" x14ac:dyDescent="0.3">
      <c r="A1" s="904" t="s">
        <v>780</v>
      </c>
      <c r="B1" s="905"/>
      <c r="C1" s="905"/>
      <c r="D1" s="905"/>
      <c r="E1" s="905"/>
      <c r="F1" s="905"/>
      <c r="G1" s="905"/>
      <c r="H1" s="905"/>
      <c r="I1" s="905"/>
      <c r="J1" s="905"/>
      <c r="K1" s="905"/>
      <c r="L1" s="905"/>
      <c r="M1" s="905"/>
      <c r="N1" s="905"/>
      <c r="O1" s="905"/>
      <c r="P1" s="905"/>
      <c r="Q1" s="905"/>
      <c r="R1" s="905"/>
      <c r="S1" s="905"/>
      <c r="T1" s="905"/>
      <c r="U1" s="905"/>
      <c r="V1" s="905"/>
      <c r="W1" s="470"/>
    </row>
    <row r="2" spans="1:23" s="434" customFormat="1" ht="15" customHeight="1" x14ac:dyDescent="0.25">
      <c r="A2" s="906" t="s">
        <v>464</v>
      </c>
      <c r="B2" s="909" t="s">
        <v>465</v>
      </c>
      <c r="C2" s="912" t="s">
        <v>378</v>
      </c>
      <c r="D2" s="913"/>
      <c r="E2" s="913"/>
      <c r="F2" s="913"/>
      <c r="G2" s="913"/>
      <c r="H2" s="913"/>
      <c r="I2" s="913"/>
      <c r="J2" s="913"/>
      <c r="K2" s="914"/>
      <c r="L2" s="943" t="s">
        <v>466</v>
      </c>
      <c r="M2" s="915" t="s">
        <v>467</v>
      </c>
      <c r="N2" s="918" t="s">
        <v>637</v>
      </c>
      <c r="O2" s="919"/>
      <c r="P2" s="919"/>
      <c r="Q2" s="920"/>
      <c r="R2" s="924" t="s">
        <v>638</v>
      </c>
      <c r="S2" s="925"/>
      <c r="T2" s="925"/>
      <c r="U2" s="925"/>
      <c r="V2" s="926"/>
      <c r="W2" s="470"/>
    </row>
    <row r="3" spans="1:23" s="434" customFormat="1" ht="24.75" customHeight="1" x14ac:dyDescent="0.25">
      <c r="A3" s="907"/>
      <c r="B3" s="910"/>
      <c r="C3" s="933" t="s">
        <v>468</v>
      </c>
      <c r="D3" s="934"/>
      <c r="E3" s="935"/>
      <c r="F3" s="892" t="s">
        <v>469</v>
      </c>
      <c r="G3" s="936"/>
      <c r="H3" s="893"/>
      <c r="I3" s="883" t="s">
        <v>541</v>
      </c>
      <c r="J3" s="886" t="s">
        <v>470</v>
      </c>
      <c r="K3" s="516" t="s">
        <v>471</v>
      </c>
      <c r="L3" s="944"/>
      <c r="M3" s="916"/>
      <c r="N3" s="921"/>
      <c r="O3" s="922"/>
      <c r="P3" s="922"/>
      <c r="Q3" s="923"/>
      <c r="R3" s="927"/>
      <c r="S3" s="928"/>
      <c r="T3" s="928"/>
      <c r="U3" s="928"/>
      <c r="V3" s="929"/>
      <c r="W3" s="470"/>
    </row>
    <row r="4" spans="1:23" s="434" customFormat="1" ht="15.75" thickBot="1" x14ac:dyDescent="0.3">
      <c r="A4" s="907"/>
      <c r="B4" s="910"/>
      <c r="C4" s="889" t="s">
        <v>639</v>
      </c>
      <c r="D4" s="892" t="s">
        <v>472</v>
      </c>
      <c r="E4" s="893"/>
      <c r="F4" s="884" t="s">
        <v>473</v>
      </c>
      <c r="G4" s="894" t="s">
        <v>474</v>
      </c>
      <c r="H4" s="896" t="s">
        <v>540</v>
      </c>
      <c r="I4" s="884"/>
      <c r="J4" s="887"/>
      <c r="K4" s="897" t="s">
        <v>475</v>
      </c>
      <c r="L4" s="944"/>
      <c r="M4" s="916"/>
      <c r="N4" s="921"/>
      <c r="O4" s="922"/>
      <c r="P4" s="922"/>
      <c r="Q4" s="923"/>
      <c r="R4" s="930"/>
      <c r="S4" s="931"/>
      <c r="T4" s="931"/>
      <c r="U4" s="931"/>
      <c r="V4" s="932"/>
      <c r="W4" s="470"/>
    </row>
    <row r="5" spans="1:23" s="434" customFormat="1" ht="43.5" customHeight="1" x14ac:dyDescent="0.25">
      <c r="A5" s="907"/>
      <c r="B5" s="910"/>
      <c r="C5" s="890"/>
      <c r="D5" s="900" t="s">
        <v>476</v>
      </c>
      <c r="E5" s="902" t="s">
        <v>477</v>
      </c>
      <c r="F5" s="884"/>
      <c r="G5" s="894"/>
      <c r="H5" s="894"/>
      <c r="I5" s="884"/>
      <c r="J5" s="887"/>
      <c r="K5" s="898"/>
      <c r="L5" s="944"/>
      <c r="M5" s="916"/>
      <c r="N5" s="518" t="s">
        <v>135</v>
      </c>
      <c r="O5" s="937" t="s">
        <v>659</v>
      </c>
      <c r="P5" s="938"/>
      <c r="Q5" s="939"/>
      <c r="R5" s="519" t="s">
        <v>581</v>
      </c>
      <c r="S5" s="520" t="s">
        <v>582</v>
      </c>
      <c r="T5" s="521" t="s">
        <v>548</v>
      </c>
      <c r="U5" s="664" t="s">
        <v>683</v>
      </c>
      <c r="V5" s="663" t="s">
        <v>549</v>
      </c>
      <c r="W5" s="470"/>
    </row>
    <row r="6" spans="1:23" s="434" customFormat="1" ht="15" customHeight="1" thickBot="1" x14ac:dyDescent="0.3">
      <c r="A6" s="908"/>
      <c r="B6" s="911"/>
      <c r="C6" s="891"/>
      <c r="D6" s="901"/>
      <c r="E6" s="903"/>
      <c r="F6" s="885"/>
      <c r="G6" s="895"/>
      <c r="H6" s="895"/>
      <c r="I6" s="885"/>
      <c r="J6" s="888"/>
      <c r="K6" s="899"/>
      <c r="L6" s="945"/>
      <c r="M6" s="917"/>
      <c r="N6" s="522">
        <v>2023</v>
      </c>
      <c r="O6" s="523" t="s">
        <v>141</v>
      </c>
      <c r="P6" s="524" t="s">
        <v>142</v>
      </c>
      <c r="Q6" s="525" t="s">
        <v>553</v>
      </c>
      <c r="R6" s="940" t="s">
        <v>141</v>
      </c>
      <c r="S6" s="941"/>
      <c r="T6" s="942"/>
      <c r="U6" s="517" t="s">
        <v>554</v>
      </c>
      <c r="V6" s="526" t="s">
        <v>555</v>
      </c>
      <c r="W6" s="470"/>
    </row>
    <row r="7" spans="1:23" s="434" customFormat="1" ht="15.75" thickBot="1" x14ac:dyDescent="0.3">
      <c r="A7" s="431" t="s">
        <v>478</v>
      </c>
      <c r="B7" s="437"/>
      <c r="C7" s="527">
        <f>C9+C18+C25+C47</f>
        <v>6421155.1100000003</v>
      </c>
      <c r="D7" s="528">
        <f>D18+D47</f>
        <v>5671374.9800000004</v>
      </c>
      <c r="E7" s="528">
        <f>E9+E18+E25+E47</f>
        <v>749780.13</v>
      </c>
      <c r="F7" s="528">
        <f>F9+F18+F25+F8+F47</f>
        <v>4610776.32</v>
      </c>
      <c r="G7" s="528">
        <f>G9+G18+G25+G47</f>
        <v>859677.33</v>
      </c>
      <c r="H7" s="528">
        <f>H9+H18+H47</f>
        <v>470909.51</v>
      </c>
      <c r="I7" s="528">
        <f>I9+I18+I47</f>
        <v>427751.80000000005</v>
      </c>
      <c r="J7" s="528">
        <f>J9+J18+J25+J47+J8</f>
        <v>12790270.07</v>
      </c>
      <c r="K7" s="529">
        <f>K9+K18+K25</f>
        <v>10277549.98</v>
      </c>
      <c r="L7" s="529">
        <f>L9+L46</f>
        <v>70669.919999999998</v>
      </c>
      <c r="M7" s="530">
        <f>J7+L7</f>
        <v>12860939.99</v>
      </c>
      <c r="N7" s="531">
        <f>N9+N18+N25+N29+N46+N47+N48</f>
        <v>12752080.65</v>
      </c>
      <c r="O7" s="532">
        <f>O9+O18+O25+O29+O46+O48</f>
        <v>12681410.73</v>
      </c>
      <c r="P7" s="533">
        <f>P9+P18+P25+P29+P46</f>
        <v>70669.919999999998</v>
      </c>
      <c r="Q7" s="534"/>
      <c r="R7" s="532">
        <f>R9+R18+R25</f>
        <v>499294.78</v>
      </c>
      <c r="S7" s="533">
        <f>S9+S18+S25</f>
        <v>15244.57</v>
      </c>
      <c r="T7" s="534">
        <f>T9+T18+T25</f>
        <v>492902.95999999996</v>
      </c>
      <c r="U7" s="427"/>
      <c r="V7" s="531">
        <f>V9+V18+V25</f>
        <v>34930.44</v>
      </c>
      <c r="W7" s="470"/>
    </row>
    <row r="8" spans="1:23" s="434" customFormat="1" ht="15.75" thickBot="1" x14ac:dyDescent="0.3">
      <c r="A8" s="430" t="s">
        <v>479</v>
      </c>
      <c r="B8" s="438" t="s">
        <v>480</v>
      </c>
      <c r="C8" s="535"/>
      <c r="D8" s="536"/>
      <c r="E8" s="537"/>
      <c r="F8" s="538">
        <v>4601.32</v>
      </c>
      <c r="G8" s="539"/>
      <c r="H8" s="539"/>
      <c r="I8" s="539"/>
      <c r="J8" s="540">
        <f>F8</f>
        <v>4601.32</v>
      </c>
      <c r="K8" s="541"/>
      <c r="L8" s="542"/>
      <c r="M8" s="543">
        <f>J8</f>
        <v>4601.32</v>
      </c>
      <c r="N8" s="544"/>
      <c r="O8" s="545"/>
      <c r="P8" s="546"/>
      <c r="Q8" s="547"/>
      <c r="R8" s="548"/>
      <c r="S8" s="549"/>
      <c r="T8" s="550"/>
      <c r="U8" s="551"/>
      <c r="V8" s="646"/>
      <c r="W8" s="470"/>
    </row>
    <row r="9" spans="1:23" s="434" customFormat="1" ht="15.75" thickBot="1" x14ac:dyDescent="0.3">
      <c r="A9" s="397" t="s">
        <v>481</v>
      </c>
      <c r="B9" s="439" t="s">
        <v>482</v>
      </c>
      <c r="C9" s="552">
        <f>C10+C11+C12+C13+C14+C15+C16+C17</f>
        <v>173327.17</v>
      </c>
      <c r="D9" s="553"/>
      <c r="E9" s="553">
        <f t="shared" ref="E9:P9" si="0">E10+E11+E12+E13+E14+E15+E16+E17</f>
        <v>173327.17</v>
      </c>
      <c r="F9" s="553">
        <f>F10+F11+F12+F13+F14+F15+F16+F17</f>
        <v>2241735</v>
      </c>
      <c r="G9" s="553">
        <f t="shared" si="0"/>
        <v>202773.5</v>
      </c>
      <c r="H9" s="553">
        <f t="shared" si="0"/>
        <v>193286.49000000002</v>
      </c>
      <c r="I9" s="553">
        <f t="shared" si="0"/>
        <v>27927.199999999997</v>
      </c>
      <c r="J9" s="553">
        <f>J10+J11+J12+J13+J14+J15+J16+J17</f>
        <v>2839049.36</v>
      </c>
      <c r="K9" s="554">
        <f t="shared" si="0"/>
        <v>2241735</v>
      </c>
      <c r="L9" s="554">
        <f t="shared" si="0"/>
        <v>19928</v>
      </c>
      <c r="M9" s="555">
        <f t="shared" si="0"/>
        <v>2858977.36</v>
      </c>
      <c r="N9" s="556">
        <f t="shared" si="0"/>
        <v>2179551</v>
      </c>
      <c r="O9" s="557">
        <f>O10+O11+O12+O13+O14+O15+O16+O17</f>
        <v>2159623</v>
      </c>
      <c r="P9" s="558">
        <f t="shared" si="0"/>
        <v>19928</v>
      </c>
      <c r="Q9" s="559"/>
      <c r="R9" s="557">
        <f>SUM(R10:R17)</f>
        <v>141507.31</v>
      </c>
      <c r="S9" s="558">
        <f>SUM(S10:S17)</f>
        <v>310</v>
      </c>
      <c r="T9" s="559">
        <f>SUM(T10:T17)</f>
        <v>197333.6</v>
      </c>
      <c r="U9" s="429"/>
      <c r="V9" s="556">
        <f>SUM(V10:V17)</f>
        <v>7509.6299999999992</v>
      </c>
      <c r="W9" s="470"/>
    </row>
    <row r="10" spans="1:23" s="434" customFormat="1" x14ac:dyDescent="0.25">
      <c r="A10" s="398" t="s">
        <v>483</v>
      </c>
      <c r="B10" s="440" t="s">
        <v>484</v>
      </c>
      <c r="C10" s="560">
        <f>E10</f>
        <v>16063</v>
      </c>
      <c r="D10" s="497"/>
      <c r="E10" s="662">
        <v>16063</v>
      </c>
      <c r="F10" s="509">
        <v>241875</v>
      </c>
      <c r="G10" s="497">
        <v>15617.93</v>
      </c>
      <c r="H10" s="662">
        <v>22074.16</v>
      </c>
      <c r="I10" s="509">
        <v>3332</v>
      </c>
      <c r="J10" s="497">
        <f>C10+F10+G10+H10+I10</f>
        <v>298962.08999999997</v>
      </c>
      <c r="K10" s="510">
        <f>F10</f>
        <v>241875</v>
      </c>
      <c r="L10" s="510">
        <f>9000</f>
        <v>9000</v>
      </c>
      <c r="M10" s="561">
        <f t="shared" ref="M10:M17" si="1">J10+L10</f>
        <v>307962.08999999997</v>
      </c>
      <c r="N10" s="562">
        <f>O10+P10</f>
        <v>250875</v>
      </c>
      <c r="O10" s="563">
        <f t="shared" ref="O10:O16" si="2">K10</f>
        <v>241875</v>
      </c>
      <c r="P10" s="662">
        <f>9000</f>
        <v>9000</v>
      </c>
      <c r="Q10" s="564"/>
      <c r="R10" s="501">
        <v>15617.93</v>
      </c>
      <c r="S10" s="500"/>
      <c r="T10" s="500">
        <v>21724.5</v>
      </c>
      <c r="U10" s="428"/>
      <c r="V10" s="565">
        <v>809.27</v>
      </c>
      <c r="W10" s="470"/>
    </row>
    <row r="11" spans="1:23" s="434" customFormat="1" x14ac:dyDescent="0.25">
      <c r="A11" s="399" t="s">
        <v>485</v>
      </c>
      <c r="B11" s="441" t="s">
        <v>486</v>
      </c>
      <c r="C11" s="566">
        <f t="shared" ref="C11:C17" si="3">E11</f>
        <v>34812.549999999996</v>
      </c>
      <c r="D11" s="494"/>
      <c r="E11" s="494">
        <f>16.6+21926+7826+5043.95</f>
        <v>34812.549999999996</v>
      </c>
      <c r="F11" s="514">
        <f>409800-4163</f>
        <v>405637</v>
      </c>
      <c r="G11" s="494">
        <v>30449.52</v>
      </c>
      <c r="H11" s="494">
        <v>41703</v>
      </c>
      <c r="I11" s="509">
        <v>5215.3</v>
      </c>
      <c r="J11" s="497">
        <f t="shared" ref="J11:J16" si="4">C11+F11+G11+H11+I11</f>
        <v>517817.37</v>
      </c>
      <c r="K11" s="499">
        <f t="shared" ref="K11:K17" si="5">F11</f>
        <v>405637</v>
      </c>
      <c r="L11" s="499">
        <v>10928</v>
      </c>
      <c r="M11" s="561">
        <f t="shared" si="1"/>
        <v>528745.37</v>
      </c>
      <c r="N11" s="567">
        <f t="shared" ref="N11:N17" si="6">O11+P11</f>
        <v>416565</v>
      </c>
      <c r="O11" s="568">
        <f t="shared" si="2"/>
        <v>405637</v>
      </c>
      <c r="P11" s="494">
        <v>10928</v>
      </c>
      <c r="Q11" s="569"/>
      <c r="R11" s="501">
        <v>27773.38</v>
      </c>
      <c r="S11" s="500"/>
      <c r="T11" s="500">
        <v>41620.639999999999</v>
      </c>
      <c r="U11" s="426"/>
      <c r="V11" s="570">
        <v>1180.23</v>
      </c>
      <c r="W11" s="470"/>
    </row>
    <row r="12" spans="1:23" s="434" customFormat="1" x14ac:dyDescent="0.25">
      <c r="A12" s="399" t="s">
        <v>487</v>
      </c>
      <c r="B12" s="441" t="s">
        <v>488</v>
      </c>
      <c r="C12" s="566">
        <f t="shared" si="3"/>
        <v>46066.79</v>
      </c>
      <c r="D12" s="494"/>
      <c r="E12" s="494">
        <f>634.4+16.6+44255+1160.79</f>
        <v>46066.79</v>
      </c>
      <c r="F12" s="514">
        <f>589005+4163</f>
        <v>593168</v>
      </c>
      <c r="G12" s="494">
        <v>39286.230000000003</v>
      </c>
      <c r="H12" s="494">
        <v>51580.89</v>
      </c>
      <c r="I12" s="509">
        <v>8667.9</v>
      </c>
      <c r="J12" s="497">
        <f t="shared" si="4"/>
        <v>738769.81</v>
      </c>
      <c r="K12" s="499">
        <f t="shared" si="5"/>
        <v>593168</v>
      </c>
      <c r="L12" s="499"/>
      <c r="M12" s="561">
        <f t="shared" si="1"/>
        <v>738769.81</v>
      </c>
      <c r="N12" s="567">
        <f t="shared" si="6"/>
        <v>593168</v>
      </c>
      <c r="O12" s="568">
        <f t="shared" si="2"/>
        <v>593168</v>
      </c>
      <c r="P12" s="571">
        <f t="shared" ref="P12:P15" si="7">L12</f>
        <v>0</v>
      </c>
      <c r="Q12" s="569"/>
      <c r="R12" s="501">
        <v>39376.230000000003</v>
      </c>
      <c r="S12" s="500"/>
      <c r="T12" s="500">
        <v>51663.1</v>
      </c>
      <c r="U12" s="426"/>
      <c r="V12" s="570">
        <v>2216.16</v>
      </c>
      <c r="W12" s="470"/>
    </row>
    <row r="13" spans="1:23" s="434" customFormat="1" x14ac:dyDescent="0.25">
      <c r="A13" s="399" t="s">
        <v>489</v>
      </c>
      <c r="B13" s="441" t="s">
        <v>490</v>
      </c>
      <c r="C13" s="566">
        <v>0</v>
      </c>
      <c r="D13" s="494"/>
      <c r="E13" s="494">
        <v>0</v>
      </c>
      <c r="F13" s="514">
        <v>0</v>
      </c>
      <c r="G13" s="494">
        <v>0</v>
      </c>
      <c r="H13" s="494"/>
      <c r="I13" s="509"/>
      <c r="J13" s="497">
        <f t="shared" si="4"/>
        <v>0</v>
      </c>
      <c r="K13" s="499">
        <f t="shared" si="5"/>
        <v>0</v>
      </c>
      <c r="L13" s="499"/>
      <c r="M13" s="561">
        <f t="shared" si="1"/>
        <v>0</v>
      </c>
      <c r="N13" s="572">
        <f t="shared" si="6"/>
        <v>0</v>
      </c>
      <c r="O13" s="568">
        <f t="shared" si="2"/>
        <v>0</v>
      </c>
      <c r="P13" s="571">
        <f t="shared" si="7"/>
        <v>0</v>
      </c>
      <c r="Q13" s="569"/>
      <c r="R13" s="501"/>
      <c r="S13" s="500"/>
      <c r="T13" s="500"/>
      <c r="U13" s="426"/>
      <c r="V13" s="573"/>
      <c r="W13" s="470"/>
    </row>
    <row r="14" spans="1:23" s="434" customFormat="1" x14ac:dyDescent="0.25">
      <c r="A14" s="399" t="s">
        <v>491</v>
      </c>
      <c r="B14" s="441" t="s">
        <v>492</v>
      </c>
      <c r="C14" s="566">
        <f t="shared" si="3"/>
        <v>25451</v>
      </c>
      <c r="D14" s="494"/>
      <c r="E14" s="494">
        <f>14349+11102</f>
        <v>25451</v>
      </c>
      <c r="F14" s="514">
        <v>290035</v>
      </c>
      <c r="G14" s="494">
        <v>20115.22</v>
      </c>
      <c r="H14" s="494">
        <v>26084.46</v>
      </c>
      <c r="I14" s="509">
        <v>2708.7</v>
      </c>
      <c r="J14" s="497">
        <f t="shared" si="4"/>
        <v>364394.38</v>
      </c>
      <c r="K14" s="499">
        <f t="shared" si="5"/>
        <v>290035</v>
      </c>
      <c r="L14" s="499"/>
      <c r="M14" s="561">
        <f t="shared" si="1"/>
        <v>364394.38</v>
      </c>
      <c r="N14" s="567">
        <f t="shared" si="6"/>
        <v>290035</v>
      </c>
      <c r="O14" s="568">
        <f t="shared" si="2"/>
        <v>290035</v>
      </c>
      <c r="P14" s="571">
        <f t="shared" si="7"/>
        <v>0</v>
      </c>
      <c r="Q14" s="569"/>
      <c r="R14" s="501">
        <v>20115.22</v>
      </c>
      <c r="S14" s="500"/>
      <c r="T14" s="500">
        <v>26889.22</v>
      </c>
      <c r="U14" s="426"/>
      <c r="V14" s="511">
        <v>2084.39</v>
      </c>
      <c r="W14" s="470"/>
    </row>
    <row r="15" spans="1:23" s="434" customFormat="1" x14ac:dyDescent="0.25">
      <c r="A15" s="399" t="s">
        <v>493</v>
      </c>
      <c r="B15" s="441" t="s">
        <v>494</v>
      </c>
      <c r="C15" s="566">
        <f t="shared" si="3"/>
        <v>27795.7</v>
      </c>
      <c r="D15" s="494"/>
      <c r="E15" s="494">
        <f>18979+1820+295+6701.7</f>
        <v>27795.7</v>
      </c>
      <c r="F15" s="514">
        <v>314075</v>
      </c>
      <c r="G15" s="494">
        <v>79608.55</v>
      </c>
      <c r="H15" s="494">
        <v>26806.13</v>
      </c>
      <c r="I15" s="509">
        <v>3729.1</v>
      </c>
      <c r="J15" s="497">
        <f t="shared" si="4"/>
        <v>452014.48</v>
      </c>
      <c r="K15" s="499">
        <f t="shared" si="5"/>
        <v>314075</v>
      </c>
      <c r="L15" s="499"/>
      <c r="M15" s="561">
        <f t="shared" si="1"/>
        <v>452014.48</v>
      </c>
      <c r="N15" s="567">
        <f t="shared" si="6"/>
        <v>314075</v>
      </c>
      <c r="O15" s="568">
        <f t="shared" si="2"/>
        <v>314075</v>
      </c>
      <c r="P15" s="571">
        <f t="shared" si="7"/>
        <v>0</v>
      </c>
      <c r="Q15" s="569"/>
      <c r="R15" s="501">
        <v>20928.5</v>
      </c>
      <c r="S15" s="500">
        <v>310</v>
      </c>
      <c r="T15" s="500">
        <v>29058.94</v>
      </c>
      <c r="U15" s="426"/>
      <c r="V15" s="511">
        <v>401.47</v>
      </c>
      <c r="W15" s="470"/>
    </row>
    <row r="16" spans="1:23" s="434" customFormat="1" x14ac:dyDescent="0.25">
      <c r="A16" s="400" t="s">
        <v>495</v>
      </c>
      <c r="B16" s="442" t="s">
        <v>496</v>
      </c>
      <c r="C16" s="574">
        <f t="shared" si="3"/>
        <v>23138.13</v>
      </c>
      <c r="D16" s="512"/>
      <c r="E16" s="494">
        <f>20044.13+3094</f>
        <v>23138.13</v>
      </c>
      <c r="F16" s="740">
        <v>314833</v>
      </c>
      <c r="G16" s="512">
        <v>17696.05</v>
      </c>
      <c r="H16" s="494">
        <v>25037.85</v>
      </c>
      <c r="I16" s="514">
        <v>4274.2</v>
      </c>
      <c r="J16" s="497">
        <f t="shared" si="4"/>
        <v>384979.23</v>
      </c>
      <c r="K16" s="496">
        <f>F16</f>
        <v>314833</v>
      </c>
      <c r="L16" s="499"/>
      <c r="M16" s="561">
        <f t="shared" si="1"/>
        <v>384979.23</v>
      </c>
      <c r="N16" s="567">
        <f t="shared" si="6"/>
        <v>314833</v>
      </c>
      <c r="O16" s="568">
        <f t="shared" si="2"/>
        <v>314833</v>
      </c>
      <c r="P16" s="571"/>
      <c r="Q16" s="569"/>
      <c r="R16" s="501">
        <v>17696.05</v>
      </c>
      <c r="S16" s="500"/>
      <c r="T16" s="500">
        <v>26377.200000000001</v>
      </c>
      <c r="U16" s="426"/>
      <c r="V16" s="511">
        <v>818.11</v>
      </c>
      <c r="W16" s="470"/>
    </row>
    <row r="17" spans="1:26" s="434" customFormat="1" ht="15.75" thickBot="1" x14ac:dyDescent="0.3">
      <c r="A17" s="400" t="s">
        <v>497</v>
      </c>
      <c r="B17" s="442" t="s">
        <v>498</v>
      </c>
      <c r="C17" s="574">
        <f t="shared" si="3"/>
        <v>0</v>
      </c>
      <c r="D17" s="512"/>
      <c r="E17" s="512">
        <v>0</v>
      </c>
      <c r="F17" s="512">
        <v>82112</v>
      </c>
      <c r="G17" s="512">
        <v>0</v>
      </c>
      <c r="H17" s="512"/>
      <c r="I17" s="575"/>
      <c r="J17" s="497">
        <f>C17+F17+G17+H17</f>
        <v>82112</v>
      </c>
      <c r="K17" s="576">
        <f t="shared" si="5"/>
        <v>82112</v>
      </c>
      <c r="L17" s="576"/>
      <c r="M17" s="561">
        <f t="shared" si="1"/>
        <v>82112</v>
      </c>
      <c r="N17" s="577">
        <f t="shared" si="6"/>
        <v>0</v>
      </c>
      <c r="O17" s="578"/>
      <c r="P17" s="579"/>
      <c r="Q17" s="580"/>
      <c r="R17" s="581"/>
      <c r="S17" s="582"/>
      <c r="T17" s="583"/>
      <c r="U17" s="584"/>
      <c r="V17" s="647"/>
      <c r="W17" s="470"/>
    </row>
    <row r="18" spans="1:26" s="434" customFormat="1" ht="15.75" thickBot="1" x14ac:dyDescent="0.3">
      <c r="A18" s="401" t="s">
        <v>499</v>
      </c>
      <c r="B18" s="443" t="s">
        <v>500</v>
      </c>
      <c r="C18" s="557">
        <f t="shared" ref="C18:K18" si="8">C19+C20+C21+C22+C23+C24</f>
        <v>6243529.1200000001</v>
      </c>
      <c r="D18" s="558">
        <f t="shared" si="8"/>
        <v>5671374.9800000004</v>
      </c>
      <c r="E18" s="558">
        <f t="shared" si="8"/>
        <v>572154.14</v>
      </c>
      <c r="F18" s="558">
        <f t="shared" si="8"/>
        <v>1325900</v>
      </c>
      <c r="G18" s="558">
        <f t="shared" si="8"/>
        <v>519983.85</v>
      </c>
      <c r="H18" s="558">
        <f t="shared" si="8"/>
        <v>277623.02</v>
      </c>
      <c r="I18" s="558">
        <f t="shared" si="8"/>
        <v>379526.40000000002</v>
      </c>
      <c r="J18" s="558">
        <f>J19+J20+J21+J22+J23+J24</f>
        <v>8746562.3900000006</v>
      </c>
      <c r="K18" s="585">
        <f t="shared" si="8"/>
        <v>6997274.9799999995</v>
      </c>
      <c r="L18" s="585">
        <f>L19+L20+L21+L22+L23+L24</f>
        <v>50741.919999999998</v>
      </c>
      <c r="M18" s="586">
        <f>M19+M20+M21+M22+M23+M24</f>
        <v>8797304.3099999987</v>
      </c>
      <c r="N18" s="556">
        <f>N19+N20+N21+N22+N23+N24</f>
        <v>6997274.9799999995</v>
      </c>
      <c r="O18" s="557">
        <f>O19+O20+O21+O22+O23+O24</f>
        <v>6997274.9799999995</v>
      </c>
      <c r="P18" s="558">
        <f>P19+P20+P21+P22+P23+P24</f>
        <v>0</v>
      </c>
      <c r="Q18" s="559"/>
      <c r="R18" s="557">
        <f>SUM(R19:R24)</f>
        <v>229387.46000000002</v>
      </c>
      <c r="S18" s="558">
        <f>SUM(S19:S24)</f>
        <v>6414.6</v>
      </c>
      <c r="T18" s="559">
        <f>SUM(T19:T24)</f>
        <v>295569.36</v>
      </c>
      <c r="U18" s="429"/>
      <c r="V18" s="556">
        <f>SUM(V19:V24)</f>
        <v>27420.81</v>
      </c>
      <c r="W18" s="470"/>
    </row>
    <row r="19" spans="1:26" s="434" customFormat="1" x14ac:dyDescent="0.25">
      <c r="A19" s="398" t="s">
        <v>501</v>
      </c>
      <c r="B19" s="440" t="s">
        <v>502</v>
      </c>
      <c r="C19" s="508">
        <f t="shared" ref="C19:C24" si="9">D19+E19</f>
        <v>540636</v>
      </c>
      <c r="D19" s="497">
        <f>1298+472301</f>
        <v>473599</v>
      </c>
      <c r="E19" s="662">
        <f>1870+1500+4582+1063.4+16.6+11831+14376+26310+2100+3388</f>
        <v>67037</v>
      </c>
      <c r="F19" s="509">
        <v>271800</v>
      </c>
      <c r="G19" s="497">
        <v>54170.34</v>
      </c>
      <c r="H19" s="662">
        <v>22588.77</v>
      </c>
      <c r="I19" s="509">
        <v>26015.599999999999</v>
      </c>
      <c r="J19" s="497">
        <f t="shared" ref="J19:J24" si="10">C19+F19+G19+H19+I19</f>
        <v>915210.71</v>
      </c>
      <c r="K19" s="498">
        <f t="shared" ref="K19:K24" si="11">D19+F19</f>
        <v>745399</v>
      </c>
      <c r="L19" s="498"/>
      <c r="M19" s="561">
        <f>J19+L19</f>
        <v>915210.71</v>
      </c>
      <c r="N19" s="562">
        <f t="shared" ref="N19:N24" si="12">O19+P19</f>
        <v>745399</v>
      </c>
      <c r="O19" s="563">
        <f>K19</f>
        <v>745399</v>
      </c>
      <c r="P19" s="587">
        <f>L19</f>
        <v>0</v>
      </c>
      <c r="Q19" s="564"/>
      <c r="R19" s="649">
        <v>15197.65</v>
      </c>
      <c r="S19" s="650">
        <v>2400</v>
      </c>
      <c r="T19" s="650">
        <v>25441.88</v>
      </c>
      <c r="U19" s="651"/>
      <c r="V19" s="652">
        <v>274.24</v>
      </c>
      <c r="W19" s="470"/>
    </row>
    <row r="20" spans="1:26" s="434" customFormat="1" x14ac:dyDescent="0.25">
      <c r="A20" s="399" t="s">
        <v>503</v>
      </c>
      <c r="B20" s="441" t="s">
        <v>504</v>
      </c>
      <c r="C20" s="495">
        <f t="shared" si="9"/>
        <v>967204.2</v>
      </c>
      <c r="D20" s="494">
        <f>2488+902237</f>
        <v>904725</v>
      </c>
      <c r="E20" s="494">
        <f>4660+5100+4602+4965.2+166+28776+1707+750+3100+8653</f>
        <v>62479.199999999997</v>
      </c>
      <c r="F20" s="514">
        <v>155000</v>
      </c>
      <c r="G20" s="494">
        <v>36735.74</v>
      </c>
      <c r="H20" s="494">
        <v>27934.240000000002</v>
      </c>
      <c r="I20" s="509">
        <v>60719.4</v>
      </c>
      <c r="J20" s="497">
        <f t="shared" si="10"/>
        <v>1247593.5799999998</v>
      </c>
      <c r="K20" s="499">
        <f t="shared" si="11"/>
        <v>1059725</v>
      </c>
      <c r="L20" s="499">
        <v>9500.4</v>
      </c>
      <c r="M20" s="561">
        <f t="shared" ref="M20:M24" si="13">J20+L20</f>
        <v>1257093.9799999997</v>
      </c>
      <c r="N20" s="567">
        <f t="shared" si="12"/>
        <v>1059725</v>
      </c>
      <c r="O20" s="568">
        <f>K20</f>
        <v>1059725</v>
      </c>
      <c r="P20" s="587"/>
      <c r="Q20" s="564"/>
      <c r="R20" s="653">
        <v>36612.14</v>
      </c>
      <c r="S20" s="500"/>
      <c r="T20" s="500">
        <v>35150.94</v>
      </c>
      <c r="U20" s="426"/>
      <c r="V20" s="511">
        <v>1985.74</v>
      </c>
      <c r="W20" s="470"/>
    </row>
    <row r="21" spans="1:26" s="434" customFormat="1" x14ac:dyDescent="0.25">
      <c r="A21" s="399" t="s">
        <v>505</v>
      </c>
      <c r="B21" s="441" t="s">
        <v>506</v>
      </c>
      <c r="C21" s="495">
        <f t="shared" si="9"/>
        <v>1594195.85</v>
      </c>
      <c r="D21" s="494">
        <f>21954.75+1437517</f>
        <v>1459471.75</v>
      </c>
      <c r="E21" s="494">
        <f>9320+6600+7994+10656.9+33.2+6078+28752+44364+1515+5500+13911</f>
        <v>134724.1</v>
      </c>
      <c r="F21" s="514">
        <v>367600</v>
      </c>
      <c r="G21" s="494">
        <v>140573.76999999999</v>
      </c>
      <c r="H21" s="494">
        <v>83316.600000000006</v>
      </c>
      <c r="I21" s="509">
        <v>104519.1</v>
      </c>
      <c r="J21" s="497">
        <f t="shared" si="10"/>
        <v>2290205.3200000003</v>
      </c>
      <c r="K21" s="499">
        <f t="shared" si="11"/>
        <v>1827071.75</v>
      </c>
      <c r="L21" s="499">
        <f>11732+764.8</f>
        <v>12496.8</v>
      </c>
      <c r="M21" s="561">
        <f t="shared" si="13"/>
        <v>2302702.12</v>
      </c>
      <c r="N21" s="567">
        <f t="shared" si="12"/>
        <v>1827071.75</v>
      </c>
      <c r="O21" s="568">
        <f>K21</f>
        <v>1827071.75</v>
      </c>
      <c r="P21" s="587"/>
      <c r="Q21" s="564"/>
      <c r="R21" s="653">
        <v>68955.570000000007</v>
      </c>
      <c r="S21" s="500">
        <v>2115</v>
      </c>
      <c r="T21" s="500">
        <v>94609.62</v>
      </c>
      <c r="U21" s="426"/>
      <c r="V21" s="511">
        <v>11130.03</v>
      </c>
      <c r="W21" s="470"/>
    </row>
    <row r="22" spans="1:26" s="434" customFormat="1" x14ac:dyDescent="0.25">
      <c r="A22" s="399" t="s">
        <v>507</v>
      </c>
      <c r="B22" s="441" t="s">
        <v>508</v>
      </c>
      <c r="C22" s="495">
        <f t="shared" si="9"/>
        <v>1429082.67</v>
      </c>
      <c r="D22" s="494">
        <f>15473.77+1277984+2373</f>
        <v>1295830.77</v>
      </c>
      <c r="E22" s="494">
        <f>4660+4050+8666+10444.9+83+57504+27032+3535+100+6100+11077</f>
        <v>133251.9</v>
      </c>
      <c r="F22" s="514">
        <v>223500</v>
      </c>
      <c r="G22" s="494">
        <v>155454.01</v>
      </c>
      <c r="H22" s="494">
        <v>61288.9</v>
      </c>
      <c r="I22" s="509">
        <v>91646.5</v>
      </c>
      <c r="J22" s="497">
        <f t="shared" si="10"/>
        <v>1960972.0799999998</v>
      </c>
      <c r="K22" s="499">
        <f t="shared" si="11"/>
        <v>1519330.77</v>
      </c>
      <c r="L22" s="499">
        <v>28744.720000000001</v>
      </c>
      <c r="M22" s="561">
        <f t="shared" si="13"/>
        <v>1989716.7999999998</v>
      </c>
      <c r="N22" s="567">
        <f t="shared" si="12"/>
        <v>1519330.77</v>
      </c>
      <c r="O22" s="568">
        <f>K22</f>
        <v>1519330.77</v>
      </c>
      <c r="P22" s="587"/>
      <c r="Q22" s="564"/>
      <c r="R22" s="653">
        <v>70234.44</v>
      </c>
      <c r="S22" s="500">
        <v>1599.6</v>
      </c>
      <c r="T22" s="500">
        <v>56018.15</v>
      </c>
      <c r="U22" s="426"/>
      <c r="V22" s="511">
        <v>9969.26</v>
      </c>
      <c r="W22" s="470"/>
    </row>
    <row r="23" spans="1:26" s="434" customFormat="1" x14ac:dyDescent="0.25">
      <c r="A23" s="399" t="s">
        <v>509</v>
      </c>
      <c r="B23" s="441" t="s">
        <v>510</v>
      </c>
      <c r="C23" s="495">
        <f t="shared" si="9"/>
        <v>1082713.5</v>
      </c>
      <c r="D23" s="494">
        <f>14928.46+937968</f>
        <v>952896.46</v>
      </c>
      <c r="E23" s="494">
        <f>4660+3750+8371+5249.9+166+14376+76736+3298+150+2600+1360.14+9100</f>
        <v>129817.04</v>
      </c>
      <c r="F23" s="514">
        <v>192700</v>
      </c>
      <c r="G23" s="494">
        <v>113576.09</v>
      </c>
      <c r="H23" s="494">
        <v>82494.509999999995</v>
      </c>
      <c r="I23" s="509">
        <v>68584.899999999994</v>
      </c>
      <c r="J23" s="497">
        <f t="shared" si="10"/>
        <v>1540069</v>
      </c>
      <c r="K23" s="499">
        <f t="shared" si="11"/>
        <v>1145596.46</v>
      </c>
      <c r="L23" s="499"/>
      <c r="M23" s="561">
        <f t="shared" si="13"/>
        <v>1540069</v>
      </c>
      <c r="N23" s="567">
        <f t="shared" si="12"/>
        <v>1145596.46</v>
      </c>
      <c r="O23" s="568">
        <f>K23</f>
        <v>1145596.46</v>
      </c>
      <c r="P23" s="571"/>
      <c r="Q23" s="569"/>
      <c r="R23" s="653">
        <v>24031.759999999998</v>
      </c>
      <c r="S23" s="500"/>
      <c r="T23" s="500">
        <v>84348.77</v>
      </c>
      <c r="U23" s="426"/>
      <c r="V23" s="511">
        <v>4061.54</v>
      </c>
      <c r="W23" s="470"/>
      <c r="Z23" s="470"/>
    </row>
    <row r="24" spans="1:26" s="434" customFormat="1" ht="15.75" thickBot="1" x14ac:dyDescent="0.3">
      <c r="A24" s="400" t="s">
        <v>511</v>
      </c>
      <c r="B24" s="442" t="s">
        <v>512</v>
      </c>
      <c r="C24" s="513">
        <f t="shared" si="9"/>
        <v>629696.9</v>
      </c>
      <c r="D24" s="512">
        <f>1698+583154</f>
        <v>584852</v>
      </c>
      <c r="E24" s="739">
        <f>1870+1500+5235+5784.9+6773+14376+2615+800+5891</f>
        <v>44844.9</v>
      </c>
      <c r="F24" s="740">
        <v>115300</v>
      </c>
      <c r="G24" s="512">
        <v>19473.900000000001</v>
      </c>
      <c r="H24" s="739"/>
      <c r="I24" s="515">
        <v>28040.9</v>
      </c>
      <c r="J24" s="497">
        <f t="shared" si="10"/>
        <v>792511.70000000007</v>
      </c>
      <c r="K24" s="496">
        <f t="shared" si="11"/>
        <v>700152</v>
      </c>
      <c r="L24" s="496">
        <v>0</v>
      </c>
      <c r="M24" s="561">
        <f t="shared" si="13"/>
        <v>792511.70000000007</v>
      </c>
      <c r="N24" s="577">
        <f t="shared" si="12"/>
        <v>700152</v>
      </c>
      <c r="O24" s="578">
        <f>K24</f>
        <v>700152</v>
      </c>
      <c r="P24" s="579"/>
      <c r="Q24" s="580"/>
      <c r="R24" s="654">
        <v>14355.9</v>
      </c>
      <c r="S24" s="655">
        <v>300</v>
      </c>
      <c r="T24" s="655"/>
      <c r="U24" s="656"/>
      <c r="V24" s="657"/>
      <c r="W24" s="470"/>
    </row>
    <row r="25" spans="1:26" s="434" customFormat="1" ht="15.75" thickBot="1" x14ac:dyDescent="0.3">
      <c r="A25" s="402" t="s">
        <v>513</v>
      </c>
      <c r="B25" s="444" t="s">
        <v>514</v>
      </c>
      <c r="C25" s="557">
        <f>C27+C28</f>
        <v>2451</v>
      </c>
      <c r="D25" s="558"/>
      <c r="E25" s="558">
        <f>E26+E27+E28</f>
        <v>2451</v>
      </c>
      <c r="F25" s="558">
        <f>F26+F27</f>
        <v>1038540</v>
      </c>
      <c r="G25" s="558">
        <f>G26+G27</f>
        <v>136919.98000000001</v>
      </c>
      <c r="H25" s="558"/>
      <c r="I25" s="558"/>
      <c r="J25" s="558">
        <f>J26+J27+J28</f>
        <v>1177910.98</v>
      </c>
      <c r="K25" s="585">
        <f>K26+K27</f>
        <v>1038540</v>
      </c>
      <c r="L25" s="585">
        <f>L26+L27</f>
        <v>0</v>
      </c>
      <c r="M25" s="586">
        <f>M26+M27+M28</f>
        <v>1177910.98</v>
      </c>
      <c r="N25" s="556">
        <f>N26+N27</f>
        <v>1038540</v>
      </c>
      <c r="O25" s="557">
        <f>O26+O27</f>
        <v>1038540</v>
      </c>
      <c r="P25" s="558">
        <f>P26+P27</f>
        <v>0</v>
      </c>
      <c r="Q25" s="559"/>
      <c r="R25" s="557">
        <f>SUM(R26:R28)</f>
        <v>128400.01000000001</v>
      </c>
      <c r="S25" s="558">
        <f>SUM(S26:S28)</f>
        <v>8519.9699999999993</v>
      </c>
      <c r="T25" s="559">
        <f>SUM(T26:T28)</f>
        <v>0</v>
      </c>
      <c r="U25" s="432"/>
      <c r="V25" s="622">
        <f>SUM(V26:V28)</f>
        <v>0</v>
      </c>
      <c r="W25" s="470"/>
    </row>
    <row r="26" spans="1:26" s="434" customFormat="1" x14ac:dyDescent="0.25">
      <c r="A26" s="398" t="s">
        <v>515</v>
      </c>
      <c r="B26" s="440" t="s">
        <v>516</v>
      </c>
      <c r="C26" s="508"/>
      <c r="D26" s="497"/>
      <c r="E26" s="662">
        <v>0</v>
      </c>
      <c r="F26" s="509">
        <f>719660+16840</f>
        <v>736500</v>
      </c>
      <c r="G26" s="497">
        <v>67073.77</v>
      </c>
      <c r="H26" s="497"/>
      <c r="I26" s="497"/>
      <c r="J26" s="497">
        <f>F26+G26</f>
        <v>803573.77</v>
      </c>
      <c r="K26" s="498">
        <f>F26</f>
        <v>736500</v>
      </c>
      <c r="L26" s="498"/>
      <c r="M26" s="561">
        <f>J26+L26</f>
        <v>803573.77</v>
      </c>
      <c r="N26" s="562">
        <f>O26+P26</f>
        <v>736500</v>
      </c>
      <c r="O26" s="563">
        <f>F26</f>
        <v>736500</v>
      </c>
      <c r="P26" s="587"/>
      <c r="Q26" s="564"/>
      <c r="R26" s="501">
        <v>64553.8</v>
      </c>
      <c r="S26" s="500">
        <v>2519.9699999999998</v>
      </c>
      <c r="T26" s="588"/>
      <c r="U26" s="589"/>
      <c r="V26" s="648"/>
      <c r="W26" s="470"/>
    </row>
    <row r="27" spans="1:26" s="434" customFormat="1" x14ac:dyDescent="0.25">
      <c r="A27" s="399" t="s">
        <v>517</v>
      </c>
      <c r="B27" s="441" t="s">
        <v>518</v>
      </c>
      <c r="C27" s="495">
        <f>E27</f>
        <v>2451</v>
      </c>
      <c r="D27" s="494"/>
      <c r="E27" s="494">
        <v>2451</v>
      </c>
      <c r="F27" s="514">
        <v>302040</v>
      </c>
      <c r="G27" s="494">
        <v>69846.210000000006</v>
      </c>
      <c r="H27" s="494"/>
      <c r="I27" s="494"/>
      <c r="J27" s="494">
        <f>C27+F27+G27</f>
        <v>374337.21</v>
      </c>
      <c r="K27" s="499">
        <f>F27</f>
        <v>302040</v>
      </c>
      <c r="L27" s="499"/>
      <c r="M27" s="590">
        <f>J27+L27</f>
        <v>374337.21</v>
      </c>
      <c r="N27" s="567">
        <f>O27+P27</f>
        <v>302040</v>
      </c>
      <c r="O27" s="563">
        <f>F27</f>
        <v>302040</v>
      </c>
      <c r="P27" s="571"/>
      <c r="Q27" s="569"/>
      <c r="R27" s="501">
        <v>63846.21</v>
      </c>
      <c r="S27" s="500">
        <v>6000</v>
      </c>
      <c r="T27" s="591"/>
      <c r="U27" s="592"/>
      <c r="V27" s="593"/>
      <c r="W27" s="470"/>
    </row>
    <row r="28" spans="1:26" s="434" customFormat="1" ht="15.75" thickBot="1" x14ac:dyDescent="0.3">
      <c r="A28" s="398"/>
      <c r="B28" s="440" t="s">
        <v>519</v>
      </c>
      <c r="C28" s="508">
        <f>E28</f>
        <v>0</v>
      </c>
      <c r="D28" s="497"/>
      <c r="E28" s="741">
        <v>0</v>
      </c>
      <c r="F28" s="509"/>
      <c r="G28" s="497"/>
      <c r="H28" s="497"/>
      <c r="I28" s="497"/>
      <c r="J28" s="497">
        <f>C28+F28+G28</f>
        <v>0</v>
      </c>
      <c r="K28" s="498"/>
      <c r="L28" s="498"/>
      <c r="M28" s="561">
        <f>J28+L28</f>
        <v>0</v>
      </c>
      <c r="N28" s="562"/>
      <c r="O28" s="563"/>
      <c r="P28" s="587"/>
      <c r="Q28" s="547"/>
      <c r="R28" s="594"/>
      <c r="S28" s="595"/>
      <c r="T28" s="596"/>
      <c r="U28" s="597"/>
      <c r="V28" s="598"/>
      <c r="W28" s="470"/>
    </row>
    <row r="29" spans="1:26" s="434" customFormat="1" ht="15.75" thickBot="1" x14ac:dyDescent="0.3">
      <c r="A29" s="403" t="s">
        <v>520</v>
      </c>
      <c r="B29" s="445" t="s">
        <v>521</v>
      </c>
      <c r="C29" s="599"/>
      <c r="D29" s="600"/>
      <c r="E29" s="600">
        <f>E30+E31+E32+E33+E34+E37+E38+E39+E40+E41+E42+E44+E45+E35+E36+E43</f>
        <v>747932.31</v>
      </c>
      <c r="F29" s="600"/>
      <c r="G29" s="600"/>
      <c r="H29" s="600"/>
      <c r="I29" s="600"/>
      <c r="J29" s="600"/>
      <c r="K29" s="601"/>
      <c r="L29" s="601"/>
      <c r="M29" s="602"/>
      <c r="N29" s="556">
        <f>N30+N31+N32+N33+N34+N37+N38+N39+N40+N41+N42+N44+N45+N35+N36+N43</f>
        <v>747932.31</v>
      </c>
      <c r="O29" s="557">
        <f>O30+O31+O32+O33+O34+O37+O38+O39+O40+O41+O42+O44+O45+O35+O36+O43</f>
        <v>747932.31</v>
      </c>
      <c r="P29" s="603"/>
      <c r="Q29" s="604"/>
      <c r="R29" s="605"/>
      <c r="S29" s="606"/>
      <c r="T29" s="607"/>
      <c r="U29" s="608"/>
      <c r="V29" s="551"/>
      <c r="W29" s="470"/>
    </row>
    <row r="30" spans="1:26" s="434" customFormat="1" x14ac:dyDescent="0.25">
      <c r="A30" s="404"/>
      <c r="B30" s="446" t="s">
        <v>522</v>
      </c>
      <c r="C30" s="508"/>
      <c r="D30" s="497"/>
      <c r="E30" s="503">
        <v>38799.599999999999</v>
      </c>
      <c r="F30" s="497"/>
      <c r="G30" s="497"/>
      <c r="H30" s="497"/>
      <c r="I30" s="497"/>
      <c r="J30" s="497"/>
      <c r="K30" s="498"/>
      <c r="L30" s="498"/>
      <c r="M30" s="561"/>
      <c r="N30" s="609">
        <f t="shared" ref="N30:N46" si="14">SUM(O30:P30)</f>
        <v>38799.599999999999</v>
      </c>
      <c r="O30" s="610">
        <f t="shared" ref="O30:O37" si="15">E30</f>
        <v>38799.599999999999</v>
      </c>
      <c r="P30" s="587"/>
      <c r="Q30" s="547"/>
      <c r="R30" s="548"/>
      <c r="S30" s="549"/>
      <c r="T30" s="611"/>
      <c r="U30" s="612"/>
      <c r="V30" s="612"/>
      <c r="W30" s="470"/>
    </row>
    <row r="31" spans="1:26" s="434" customFormat="1" x14ac:dyDescent="0.25">
      <c r="A31" s="405"/>
      <c r="B31" s="447" t="s">
        <v>523</v>
      </c>
      <c r="C31" s="495"/>
      <c r="D31" s="494"/>
      <c r="E31" s="504">
        <v>160298.13</v>
      </c>
      <c r="F31" s="494"/>
      <c r="G31" s="494"/>
      <c r="H31" s="494"/>
      <c r="I31" s="494"/>
      <c r="J31" s="494"/>
      <c r="K31" s="499"/>
      <c r="L31" s="499"/>
      <c r="M31" s="590"/>
      <c r="N31" s="609">
        <f t="shared" si="14"/>
        <v>160298.13</v>
      </c>
      <c r="O31" s="610">
        <f t="shared" si="15"/>
        <v>160298.13</v>
      </c>
      <c r="P31" s="571"/>
      <c r="Q31" s="547"/>
      <c r="R31" s="548"/>
      <c r="S31" s="549"/>
      <c r="T31" s="613"/>
      <c r="U31" s="614"/>
      <c r="V31" s="614"/>
      <c r="W31" s="470"/>
    </row>
    <row r="32" spans="1:26" s="434" customFormat="1" x14ac:dyDescent="0.25">
      <c r="A32" s="405"/>
      <c r="B32" s="447" t="s">
        <v>524</v>
      </c>
      <c r="C32" s="495"/>
      <c r="D32" s="494"/>
      <c r="E32" s="504">
        <v>41901</v>
      </c>
      <c r="F32" s="494"/>
      <c r="G32" s="494"/>
      <c r="H32" s="494"/>
      <c r="I32" s="494"/>
      <c r="J32" s="494"/>
      <c r="K32" s="499"/>
      <c r="L32" s="499"/>
      <c r="M32" s="590"/>
      <c r="N32" s="609">
        <f t="shared" si="14"/>
        <v>41901</v>
      </c>
      <c r="O32" s="610">
        <f t="shared" si="15"/>
        <v>41901</v>
      </c>
      <c r="P32" s="571"/>
      <c r="Q32" s="547"/>
      <c r="R32" s="548"/>
      <c r="S32" s="549"/>
      <c r="T32" s="613"/>
      <c r="U32" s="614"/>
      <c r="V32" s="614"/>
      <c r="W32" s="470"/>
    </row>
    <row r="33" spans="1:23" s="434" customFormat="1" x14ac:dyDescent="0.25">
      <c r="A33" s="405"/>
      <c r="B33" s="447" t="s">
        <v>525</v>
      </c>
      <c r="C33" s="495"/>
      <c r="D33" s="494"/>
      <c r="E33" s="504">
        <v>12670</v>
      </c>
      <c r="F33" s="494"/>
      <c r="G33" s="494"/>
      <c r="H33" s="494"/>
      <c r="I33" s="494"/>
      <c r="J33" s="494"/>
      <c r="K33" s="499"/>
      <c r="L33" s="499"/>
      <c r="M33" s="590"/>
      <c r="N33" s="609">
        <f t="shared" si="14"/>
        <v>12670</v>
      </c>
      <c r="O33" s="610">
        <f t="shared" si="15"/>
        <v>12670</v>
      </c>
      <c r="P33" s="571"/>
      <c r="Q33" s="547"/>
      <c r="R33" s="548"/>
      <c r="S33" s="549"/>
      <c r="T33" s="613"/>
      <c r="U33" s="614"/>
      <c r="V33" s="614"/>
      <c r="W33" s="470"/>
    </row>
    <row r="34" spans="1:23" s="434" customFormat="1" x14ac:dyDescent="0.25">
      <c r="A34" s="405"/>
      <c r="B34" s="447" t="s">
        <v>596</v>
      </c>
      <c r="C34" s="495"/>
      <c r="D34" s="494"/>
      <c r="E34" s="504">
        <v>0</v>
      </c>
      <c r="F34" s="494"/>
      <c r="G34" s="494"/>
      <c r="H34" s="494"/>
      <c r="I34" s="494"/>
      <c r="J34" s="494"/>
      <c r="K34" s="499"/>
      <c r="L34" s="499"/>
      <c r="M34" s="590"/>
      <c r="N34" s="609">
        <f t="shared" si="14"/>
        <v>0</v>
      </c>
      <c r="O34" s="610">
        <f t="shared" si="15"/>
        <v>0</v>
      </c>
      <c r="P34" s="571"/>
      <c r="Q34" s="547"/>
      <c r="R34" s="548"/>
      <c r="S34" s="549"/>
      <c r="T34" s="613"/>
      <c r="U34" s="614"/>
      <c r="V34" s="614"/>
      <c r="W34" s="470"/>
    </row>
    <row r="35" spans="1:23" s="434" customFormat="1" x14ac:dyDescent="0.25">
      <c r="A35" s="405"/>
      <c r="B35" s="447" t="s">
        <v>681</v>
      </c>
      <c r="C35" s="495"/>
      <c r="D35" s="494"/>
      <c r="E35" s="504">
        <v>27040</v>
      </c>
      <c r="F35" s="494"/>
      <c r="G35" s="494"/>
      <c r="H35" s="494"/>
      <c r="I35" s="494"/>
      <c r="J35" s="494"/>
      <c r="K35" s="499"/>
      <c r="L35" s="499"/>
      <c r="M35" s="590"/>
      <c r="N35" s="609">
        <f t="shared" si="14"/>
        <v>27040</v>
      </c>
      <c r="O35" s="610">
        <f t="shared" si="15"/>
        <v>27040</v>
      </c>
      <c r="P35" s="571"/>
      <c r="Q35" s="547"/>
      <c r="R35" s="548"/>
      <c r="S35" s="549"/>
      <c r="T35" s="613"/>
      <c r="U35" s="614"/>
      <c r="V35" s="614"/>
      <c r="W35" s="470"/>
    </row>
    <row r="36" spans="1:23" s="434" customFormat="1" x14ac:dyDescent="0.25">
      <c r="A36" s="405"/>
      <c r="B36" s="447" t="s">
        <v>630</v>
      </c>
      <c r="C36" s="495"/>
      <c r="D36" s="494"/>
      <c r="E36" s="504">
        <v>0</v>
      </c>
      <c r="F36" s="494"/>
      <c r="G36" s="494"/>
      <c r="H36" s="494"/>
      <c r="I36" s="494"/>
      <c r="J36" s="494"/>
      <c r="K36" s="499"/>
      <c r="L36" s="499"/>
      <c r="M36" s="590"/>
      <c r="N36" s="609">
        <f t="shared" si="14"/>
        <v>0</v>
      </c>
      <c r="O36" s="610">
        <f t="shared" si="15"/>
        <v>0</v>
      </c>
      <c r="P36" s="571"/>
      <c r="Q36" s="547"/>
      <c r="R36" s="548"/>
      <c r="S36" s="549"/>
      <c r="T36" s="613"/>
      <c r="U36" s="614"/>
      <c r="V36" s="614"/>
      <c r="W36" s="470"/>
    </row>
    <row r="37" spans="1:23" s="434" customFormat="1" x14ac:dyDescent="0.25">
      <c r="A37" s="405"/>
      <c r="B37" s="447" t="s">
        <v>631</v>
      </c>
      <c r="C37" s="495"/>
      <c r="D37" s="494"/>
      <c r="E37" s="504">
        <f>295+11745.65</f>
        <v>12040.65</v>
      </c>
      <c r="F37" s="494"/>
      <c r="G37" s="494"/>
      <c r="H37" s="494"/>
      <c r="I37" s="494"/>
      <c r="J37" s="494"/>
      <c r="K37" s="499"/>
      <c r="L37" s="499"/>
      <c r="M37" s="590"/>
      <c r="N37" s="609">
        <f t="shared" si="14"/>
        <v>12040.65</v>
      </c>
      <c r="O37" s="610">
        <f t="shared" si="15"/>
        <v>12040.65</v>
      </c>
      <c r="P37" s="571"/>
      <c r="Q37" s="547"/>
      <c r="R37" s="548"/>
      <c r="S37" s="549"/>
      <c r="T37" s="613"/>
      <c r="U37" s="614"/>
      <c r="V37" s="614"/>
      <c r="W37" s="470"/>
    </row>
    <row r="38" spans="1:23" s="434" customFormat="1" x14ac:dyDescent="0.25">
      <c r="A38" s="405"/>
      <c r="B38" s="447" t="s">
        <v>682</v>
      </c>
      <c r="C38" s="495"/>
      <c r="D38" s="494"/>
      <c r="E38" s="504">
        <v>1360.14</v>
      </c>
      <c r="F38" s="494"/>
      <c r="G38" s="494"/>
      <c r="H38" s="494"/>
      <c r="I38" s="494"/>
      <c r="J38" s="494"/>
      <c r="K38" s="499"/>
      <c r="L38" s="499"/>
      <c r="M38" s="590"/>
      <c r="N38" s="609">
        <f t="shared" si="14"/>
        <v>1360.14</v>
      </c>
      <c r="O38" s="610">
        <f>E38-E28</f>
        <v>1360.14</v>
      </c>
      <c r="P38" s="571"/>
      <c r="Q38" s="547"/>
      <c r="R38" s="548"/>
      <c r="S38" s="549"/>
      <c r="T38" s="613"/>
      <c r="U38" s="614"/>
      <c r="V38" s="614"/>
      <c r="W38" s="470"/>
    </row>
    <row r="39" spans="1:23" s="434" customFormat="1" x14ac:dyDescent="0.25">
      <c r="A39" s="405"/>
      <c r="B39" s="447" t="s">
        <v>526</v>
      </c>
      <c r="C39" s="495"/>
      <c r="D39" s="494"/>
      <c r="E39" s="504">
        <v>498</v>
      </c>
      <c r="F39" s="494"/>
      <c r="G39" s="494"/>
      <c r="H39" s="494"/>
      <c r="I39" s="494"/>
      <c r="J39" s="494"/>
      <c r="K39" s="499"/>
      <c r="L39" s="499"/>
      <c r="M39" s="590"/>
      <c r="N39" s="609">
        <f t="shared" si="14"/>
        <v>498</v>
      </c>
      <c r="O39" s="610">
        <f t="shared" ref="O39:O45" si="16">E39</f>
        <v>498</v>
      </c>
      <c r="P39" s="571"/>
      <c r="Q39" s="547"/>
      <c r="R39" s="548"/>
      <c r="S39" s="549"/>
      <c r="T39" s="613"/>
      <c r="U39" s="614"/>
      <c r="V39" s="614"/>
      <c r="W39" s="470"/>
    </row>
    <row r="40" spans="1:23" s="434" customFormat="1" x14ac:dyDescent="0.25">
      <c r="A40" s="405"/>
      <c r="B40" s="447" t="s">
        <v>527</v>
      </c>
      <c r="C40" s="495"/>
      <c r="D40" s="494"/>
      <c r="E40" s="504">
        <f>109800+19584</f>
        <v>129384</v>
      </c>
      <c r="F40" s="494"/>
      <c r="G40" s="494"/>
      <c r="H40" s="494"/>
      <c r="I40" s="494"/>
      <c r="J40" s="494"/>
      <c r="K40" s="499"/>
      <c r="L40" s="499"/>
      <c r="M40" s="590"/>
      <c r="N40" s="609">
        <f t="shared" si="14"/>
        <v>129384</v>
      </c>
      <c r="O40" s="610">
        <f t="shared" si="16"/>
        <v>129384</v>
      </c>
      <c r="P40" s="571"/>
      <c r="Q40" s="547"/>
      <c r="R40" s="548"/>
      <c r="S40" s="549"/>
      <c r="T40" s="613"/>
      <c r="U40" s="614"/>
      <c r="V40" s="614"/>
      <c r="W40" s="470"/>
    </row>
    <row r="41" spans="1:23" s="434" customFormat="1" x14ac:dyDescent="0.25">
      <c r="A41" s="405"/>
      <c r="B41" s="447" t="s">
        <v>528</v>
      </c>
      <c r="C41" s="495"/>
      <c r="D41" s="494"/>
      <c r="E41" s="504">
        <v>20200</v>
      </c>
      <c r="F41" s="494"/>
      <c r="G41" s="494"/>
      <c r="H41" s="494"/>
      <c r="I41" s="494"/>
      <c r="J41" s="494"/>
      <c r="K41" s="499"/>
      <c r="L41" s="499"/>
      <c r="M41" s="590"/>
      <c r="N41" s="609">
        <f t="shared" si="14"/>
        <v>20200</v>
      </c>
      <c r="O41" s="610">
        <f t="shared" si="16"/>
        <v>20200</v>
      </c>
      <c r="P41" s="571"/>
      <c r="Q41" s="547"/>
      <c r="R41" s="548"/>
      <c r="S41" s="549"/>
      <c r="T41" s="613"/>
      <c r="U41" s="614"/>
      <c r="V41" s="614"/>
      <c r="W41" s="470"/>
    </row>
    <row r="42" spans="1:23" s="434" customFormat="1" x14ac:dyDescent="0.25">
      <c r="A42" s="406"/>
      <c r="B42" s="447" t="s">
        <v>622</v>
      </c>
      <c r="C42" s="513"/>
      <c r="D42" s="512"/>
      <c r="E42" s="504">
        <f>11400+11100</f>
        <v>22500</v>
      </c>
      <c r="F42" s="512"/>
      <c r="G42" s="512"/>
      <c r="H42" s="512"/>
      <c r="I42" s="512"/>
      <c r="J42" s="512"/>
      <c r="K42" s="496"/>
      <c r="L42" s="496"/>
      <c r="M42" s="615"/>
      <c r="N42" s="609">
        <f>SUM(O42:P42)</f>
        <v>22500</v>
      </c>
      <c r="O42" s="610">
        <f t="shared" si="16"/>
        <v>22500</v>
      </c>
      <c r="P42" s="571"/>
      <c r="Q42" s="547"/>
      <c r="R42" s="548"/>
      <c r="S42" s="549"/>
      <c r="T42" s="613"/>
      <c r="U42" s="614"/>
      <c r="V42" s="614"/>
      <c r="W42" s="470"/>
    </row>
    <row r="43" spans="1:23" s="434" customFormat="1" x14ac:dyDescent="0.25">
      <c r="A43" s="406"/>
      <c r="B43" s="447" t="s">
        <v>577</v>
      </c>
      <c r="C43" s="513"/>
      <c r="D43" s="512"/>
      <c r="E43" s="505">
        <f>38300+13720</f>
        <v>52020</v>
      </c>
      <c r="F43" s="512"/>
      <c r="G43" s="512"/>
      <c r="H43" s="512"/>
      <c r="I43" s="512"/>
      <c r="J43" s="512"/>
      <c r="K43" s="496"/>
      <c r="L43" s="496"/>
      <c r="M43" s="615"/>
      <c r="N43" s="609">
        <f>SUM(O43:P43)</f>
        <v>52020</v>
      </c>
      <c r="O43" s="610">
        <f t="shared" si="16"/>
        <v>52020</v>
      </c>
      <c r="P43" s="571"/>
      <c r="Q43" s="547"/>
      <c r="R43" s="548"/>
      <c r="S43" s="549"/>
      <c r="T43" s="613"/>
      <c r="U43" s="614"/>
      <c r="V43" s="614"/>
      <c r="W43" s="470"/>
    </row>
    <row r="44" spans="1:23" s="434" customFormat="1" x14ac:dyDescent="0.25">
      <c r="A44" s="406"/>
      <c r="B44" s="502" t="s">
        <v>657</v>
      </c>
      <c r="C44" s="513"/>
      <c r="D44" s="512"/>
      <c r="E44" s="504">
        <v>228220.79</v>
      </c>
      <c r="F44" s="512"/>
      <c r="G44" s="512"/>
      <c r="H44" s="512"/>
      <c r="I44" s="512"/>
      <c r="J44" s="512"/>
      <c r="K44" s="496"/>
      <c r="L44" s="496"/>
      <c r="M44" s="615"/>
      <c r="N44" s="609">
        <f>SUM(O44:P44)</f>
        <v>228220.79</v>
      </c>
      <c r="O44" s="610">
        <f t="shared" si="16"/>
        <v>228220.79</v>
      </c>
      <c r="P44" s="571"/>
      <c r="Q44" s="547"/>
      <c r="R44" s="548"/>
      <c r="S44" s="549"/>
      <c r="T44" s="613"/>
      <c r="U44" s="614"/>
      <c r="V44" s="614"/>
      <c r="W44" s="470"/>
    </row>
    <row r="45" spans="1:23" s="434" customFormat="1" ht="15.75" thickBot="1" x14ac:dyDescent="0.3">
      <c r="A45" s="406"/>
      <c r="B45" s="446" t="s">
        <v>529</v>
      </c>
      <c r="C45" s="513"/>
      <c r="D45" s="512"/>
      <c r="E45" s="506">
        <v>1000</v>
      </c>
      <c r="F45" s="512"/>
      <c r="G45" s="512"/>
      <c r="H45" s="512"/>
      <c r="I45" s="512"/>
      <c r="J45" s="512"/>
      <c r="K45" s="496"/>
      <c r="L45" s="496"/>
      <c r="M45" s="615"/>
      <c r="N45" s="609">
        <f t="shared" si="14"/>
        <v>1000</v>
      </c>
      <c r="O45" s="610">
        <f t="shared" si="16"/>
        <v>1000</v>
      </c>
      <c r="P45" s="579"/>
      <c r="Q45" s="547"/>
      <c r="R45" s="548"/>
      <c r="S45" s="549"/>
      <c r="T45" s="613"/>
      <c r="U45" s="614"/>
      <c r="V45" s="614"/>
      <c r="W45" s="470"/>
    </row>
    <row r="46" spans="1:23" s="434" customFormat="1" ht="15.75" thickBot="1" x14ac:dyDescent="0.3">
      <c r="A46" s="433" t="s">
        <v>530</v>
      </c>
      <c r="B46" s="445" t="s">
        <v>550</v>
      </c>
      <c r="C46" s="599"/>
      <c r="D46" s="600"/>
      <c r="E46" s="600"/>
      <c r="F46" s="600"/>
      <c r="G46" s="600">
        <f>G9+G18+G25</f>
        <v>859677.33</v>
      </c>
      <c r="H46" s="600"/>
      <c r="I46" s="600"/>
      <c r="J46" s="600">
        <f>SUM(G46)</f>
        <v>859677.33</v>
      </c>
      <c r="K46" s="601"/>
      <c r="L46" s="601">
        <f>L20+L21+L22</f>
        <v>50741.919999999998</v>
      </c>
      <c r="M46" s="602">
        <f>G46+L46</f>
        <v>910419.25</v>
      </c>
      <c r="N46" s="556">
        <f t="shared" si="14"/>
        <v>910419.25</v>
      </c>
      <c r="O46" s="557">
        <f>G46</f>
        <v>859677.33</v>
      </c>
      <c r="P46" s="558">
        <f>L46</f>
        <v>50741.919999999998</v>
      </c>
      <c r="Q46" s="616"/>
      <c r="R46" s="548"/>
      <c r="S46" s="549"/>
      <c r="T46" s="613"/>
      <c r="U46" s="614"/>
      <c r="V46" s="614"/>
      <c r="W46" s="470"/>
    </row>
    <row r="47" spans="1:23" s="434" customFormat="1" ht="15.75" thickBot="1" x14ac:dyDescent="0.3">
      <c r="A47" s="403" t="s">
        <v>531</v>
      </c>
      <c r="B47" s="448" t="s">
        <v>295</v>
      </c>
      <c r="C47" s="599">
        <f>D47+E47</f>
        <v>1847.82</v>
      </c>
      <c r="D47" s="600"/>
      <c r="E47" s="600">
        <v>1847.82</v>
      </c>
      <c r="F47" s="600"/>
      <c r="G47" s="600"/>
      <c r="H47" s="600"/>
      <c r="I47" s="600">
        <v>20298.2</v>
      </c>
      <c r="J47" s="600">
        <f>D47+E47+G47+H47+F47+I47</f>
        <v>22146.02</v>
      </c>
      <c r="K47" s="601"/>
      <c r="L47" s="601"/>
      <c r="M47" s="602">
        <f>D47+E47+G47+H47+F47+L47+I47</f>
        <v>22146.02</v>
      </c>
      <c r="N47" s="556">
        <v>0</v>
      </c>
      <c r="O47" s="557">
        <v>0</v>
      </c>
      <c r="P47" s="603"/>
      <c r="Q47" s="547"/>
      <c r="R47" s="548"/>
      <c r="S47" s="549"/>
      <c r="T47" s="613"/>
      <c r="U47" s="614"/>
      <c r="V47" s="614"/>
      <c r="W47" s="470"/>
    </row>
    <row r="48" spans="1:23" s="434" customFormat="1" ht="15.75" thickBot="1" x14ac:dyDescent="0.3">
      <c r="A48" s="403" t="s">
        <v>532</v>
      </c>
      <c r="B48" s="448" t="s">
        <v>533</v>
      </c>
      <c r="C48" s="599"/>
      <c r="D48" s="600"/>
      <c r="E48" s="600"/>
      <c r="F48" s="600"/>
      <c r="G48" s="600"/>
      <c r="H48" s="600">
        <f>H9+H18</f>
        <v>470909.51</v>
      </c>
      <c r="I48" s="600">
        <f>I9+I18</f>
        <v>407453.60000000003</v>
      </c>
      <c r="J48" s="600">
        <f>H48+I48</f>
        <v>878363.1100000001</v>
      </c>
      <c r="K48" s="601"/>
      <c r="L48" s="601"/>
      <c r="M48" s="602">
        <f>H48+I48</f>
        <v>878363.1100000001</v>
      </c>
      <c r="N48" s="556">
        <f>O48</f>
        <v>878363.1100000001</v>
      </c>
      <c r="O48" s="557">
        <f>H48+I48</f>
        <v>878363.1100000001</v>
      </c>
      <c r="P48" s="603"/>
      <c r="Q48" s="617"/>
      <c r="R48" s="548"/>
      <c r="S48" s="549"/>
      <c r="T48" s="613"/>
      <c r="U48" s="614"/>
      <c r="V48" s="614"/>
      <c r="W48" s="470"/>
    </row>
    <row r="49" spans="1:23" s="434" customFormat="1" ht="15.75" thickBot="1" x14ac:dyDescent="0.3">
      <c r="A49" s="881" t="s">
        <v>545</v>
      </c>
      <c r="B49" s="882"/>
      <c r="C49" s="618">
        <f>C9+C18+C25+C47</f>
        <v>6421155.1100000003</v>
      </c>
      <c r="D49" s="619">
        <f>D18+D47</f>
        <v>5671374.9800000004</v>
      </c>
      <c r="E49" s="619">
        <f>E30+E31+E32+E33+E34+E37+E38+E39+E40+E41+E42+E44+E45+E47+E35+E36+E43</f>
        <v>749780.13</v>
      </c>
      <c r="F49" s="619">
        <f>F9+F18+F25+F8+F47</f>
        <v>4610776.32</v>
      </c>
      <c r="G49" s="619">
        <f>G9+G18+G25+G47</f>
        <v>859677.33</v>
      </c>
      <c r="H49" s="619">
        <f>H9+H18+H47</f>
        <v>470909.51</v>
      </c>
      <c r="I49" s="619">
        <f>I9+I18+I47</f>
        <v>427751.80000000005</v>
      </c>
      <c r="J49" s="619">
        <f>J9+J18+J25+J47+J8</f>
        <v>12790270.07</v>
      </c>
      <c r="K49" s="620">
        <f>K9+K18+K25</f>
        <v>10277549.98</v>
      </c>
      <c r="L49" s="620">
        <f>L9+L18+L25+L47</f>
        <v>70669.919999999998</v>
      </c>
      <c r="M49" s="621">
        <f>M9+M18+M25+M8+M47</f>
        <v>12860939.989999998</v>
      </c>
      <c r="N49" s="622">
        <f>N48+N46+N29+N25+N18+N9</f>
        <v>12752080.649999999</v>
      </c>
      <c r="O49" s="623">
        <f>O48+O46+O29+O25+O18+O9</f>
        <v>12681410.73</v>
      </c>
      <c r="P49" s="624">
        <f>P9+P18+P25+P46</f>
        <v>70669.919999999998</v>
      </c>
      <c r="Q49" s="625"/>
      <c r="R49" s="599">
        <f>R9+R18+R25</f>
        <v>499294.78</v>
      </c>
      <c r="S49" s="600">
        <f>S9+S18+S25</f>
        <v>15244.57</v>
      </c>
      <c r="T49" s="626">
        <f>T25+T18+T9</f>
        <v>492902.95999999996</v>
      </c>
      <c r="U49" s="658"/>
      <c r="V49" s="626">
        <f>V25+V18+V9</f>
        <v>34930.44</v>
      </c>
      <c r="W49" s="470"/>
    </row>
    <row r="50" spans="1:23" s="434" customFormat="1" ht="15.75" thickBot="1" x14ac:dyDescent="0.3">
      <c r="A50" s="872" t="s">
        <v>357</v>
      </c>
      <c r="B50" s="873"/>
      <c r="C50" s="627"/>
      <c r="D50" s="628">
        <v>643109.16</v>
      </c>
      <c r="E50" s="628"/>
      <c r="F50" s="628">
        <v>100000</v>
      </c>
      <c r="G50" s="628">
        <f>420846.2-9980</f>
        <v>410866.2</v>
      </c>
      <c r="H50" s="628">
        <v>180639.55</v>
      </c>
      <c r="I50" s="628"/>
      <c r="J50" s="628"/>
      <c r="K50" s="629"/>
      <c r="L50" s="629">
        <v>9980</v>
      </c>
      <c r="M50" s="630">
        <f>SUM(C50:L50)</f>
        <v>1344594.9100000001</v>
      </c>
      <c r="N50" s="631">
        <f>SUM(O50:P50)</f>
        <v>1344594.9100000001</v>
      </c>
      <c r="O50" s="632">
        <f>D50+F50+G50+H50</f>
        <v>1334614.9100000001</v>
      </c>
      <c r="P50" s="633">
        <f>L50</f>
        <v>9980</v>
      </c>
      <c r="Q50" s="634"/>
      <c r="R50" s="632">
        <v>420846.2</v>
      </c>
      <c r="S50" s="635"/>
      <c r="T50" s="636">
        <v>213279.49</v>
      </c>
      <c r="U50" s="631"/>
      <c r="V50" s="659">
        <v>8244.7099999999991</v>
      </c>
      <c r="W50" s="470"/>
    </row>
    <row r="51" spans="1:23" s="434" customFormat="1" ht="15.75" thickBot="1" x14ac:dyDescent="0.3">
      <c r="A51" s="872" t="s">
        <v>546</v>
      </c>
      <c r="B51" s="873"/>
      <c r="C51" s="632"/>
      <c r="D51" s="633"/>
      <c r="E51" s="633"/>
      <c r="F51" s="633">
        <v>187000</v>
      </c>
      <c r="G51" s="633">
        <v>5793.9</v>
      </c>
      <c r="H51" s="633"/>
      <c r="I51" s="633"/>
      <c r="J51" s="633"/>
      <c r="K51" s="636"/>
      <c r="L51" s="629"/>
      <c r="M51" s="630">
        <f>SUM(C51:L51)</f>
        <v>192793.9</v>
      </c>
      <c r="N51" s="631">
        <f>SUM(O51:P51)</f>
        <v>192793.9</v>
      </c>
      <c r="O51" s="632">
        <f>F51+G51</f>
        <v>192793.9</v>
      </c>
      <c r="P51" s="633"/>
      <c r="Q51" s="634"/>
      <c r="R51" s="632">
        <v>5793.9</v>
      </c>
      <c r="S51" s="635"/>
      <c r="T51" s="636"/>
      <c r="U51" s="631"/>
      <c r="V51" s="659"/>
      <c r="W51" s="470"/>
    </row>
    <row r="52" spans="1:23" s="435" customFormat="1" ht="32.25" customHeight="1" thickBot="1" x14ac:dyDescent="0.3">
      <c r="A52" s="874" t="s">
        <v>547</v>
      </c>
      <c r="B52" s="875"/>
      <c r="C52" s="637"/>
      <c r="D52" s="637">
        <f>D49+D50+D51</f>
        <v>6314484.1400000006</v>
      </c>
      <c r="E52" s="637">
        <f t="shared" ref="E52:L52" si="17">E49+E50+E51</f>
        <v>749780.13</v>
      </c>
      <c r="F52" s="637">
        <f t="shared" si="17"/>
        <v>4897776.32</v>
      </c>
      <c r="G52" s="637">
        <f t="shared" si="17"/>
        <v>1276337.43</v>
      </c>
      <c r="H52" s="637">
        <f t="shared" si="17"/>
        <v>651549.06000000006</v>
      </c>
      <c r="I52" s="637">
        <f t="shared" si="17"/>
        <v>427751.80000000005</v>
      </c>
      <c r="J52" s="637">
        <f t="shared" si="17"/>
        <v>12790270.07</v>
      </c>
      <c r="K52" s="637">
        <f t="shared" si="17"/>
        <v>10277549.98</v>
      </c>
      <c r="L52" s="639">
        <f t="shared" si="17"/>
        <v>80649.919999999998</v>
      </c>
      <c r="M52" s="640">
        <f>M49+M50+M51</f>
        <v>14398328.799999999</v>
      </c>
      <c r="N52" s="641">
        <f>N49+N50+N51</f>
        <v>14289469.459999999</v>
      </c>
      <c r="O52" s="638">
        <f>O49+O50+O51</f>
        <v>14208819.540000001</v>
      </c>
      <c r="P52" s="637">
        <f>P49+P50+P51</f>
        <v>80649.919999999998</v>
      </c>
      <c r="Q52" s="642"/>
      <c r="R52" s="876">
        <f>R51+R50+R49+T49+T50+S49+S51+S50</f>
        <v>1647361.9000000001</v>
      </c>
      <c r="S52" s="877"/>
      <c r="T52" s="878"/>
      <c r="U52" s="641"/>
      <c r="V52" s="640">
        <f>V49+V50</f>
        <v>43175.15</v>
      </c>
      <c r="W52" s="471"/>
    </row>
    <row r="53" spans="1:23" s="435" customFormat="1" ht="16.5" thickBot="1" x14ac:dyDescent="0.3">
      <c r="A53" s="879" t="s">
        <v>551</v>
      </c>
      <c r="B53" s="880"/>
      <c r="C53" s="637"/>
      <c r="D53" s="637"/>
      <c r="E53" s="637"/>
      <c r="F53" s="637"/>
      <c r="G53" s="637"/>
      <c r="H53" s="637"/>
      <c r="I53" s="637"/>
      <c r="J53" s="637"/>
      <c r="K53" s="637"/>
      <c r="L53" s="639"/>
      <c r="M53" s="640">
        <f>SUM(C53:L53)</f>
        <v>0</v>
      </c>
      <c r="N53" s="641">
        <f>SUM(O53:Q53)</f>
        <v>22017140.530000001</v>
      </c>
      <c r="O53" s="638">
        <v>10372570.49</v>
      </c>
      <c r="P53" s="637">
        <v>8744475.6799999997</v>
      </c>
      <c r="Q53" s="642">
        <v>2900094.36</v>
      </c>
      <c r="R53" s="876">
        <v>24496210.52</v>
      </c>
      <c r="S53" s="877"/>
      <c r="T53" s="878"/>
      <c r="U53" s="641">
        <v>5741420.1500000004</v>
      </c>
      <c r="V53" s="640">
        <v>5926243.0599999996</v>
      </c>
      <c r="W53" s="471"/>
    </row>
    <row r="54" spans="1:23" s="436" customFormat="1" ht="33.75" customHeight="1" thickBot="1" x14ac:dyDescent="0.35">
      <c r="A54" s="861" t="s">
        <v>552</v>
      </c>
      <c r="B54" s="862"/>
      <c r="C54" s="862"/>
      <c r="D54" s="862"/>
      <c r="E54" s="862"/>
      <c r="F54" s="862"/>
      <c r="G54" s="862"/>
      <c r="H54" s="862"/>
      <c r="I54" s="862"/>
      <c r="J54" s="862"/>
      <c r="K54" s="862"/>
      <c r="L54" s="862"/>
      <c r="M54" s="862"/>
      <c r="N54" s="863"/>
      <c r="O54" s="643">
        <f>O52+O53</f>
        <v>24581390.030000001</v>
      </c>
      <c r="P54" s="644">
        <f>P52+P53</f>
        <v>8825125.5999999996</v>
      </c>
      <c r="Q54" s="645">
        <f>Q52+Q53</f>
        <v>2900094.36</v>
      </c>
      <c r="R54" s="867">
        <f>R52+R53</f>
        <v>26143572.419999998</v>
      </c>
      <c r="S54" s="868"/>
      <c r="T54" s="869"/>
      <c r="U54" s="660">
        <f>U52+U53</f>
        <v>5741420.1500000004</v>
      </c>
      <c r="V54" s="661">
        <f>V52+V53</f>
        <v>5969418.21</v>
      </c>
      <c r="W54" s="472"/>
    </row>
    <row r="55" spans="1:23" s="434" customFormat="1" ht="19.5" thickBot="1" x14ac:dyDescent="0.35">
      <c r="A55" s="864"/>
      <c r="B55" s="865"/>
      <c r="C55" s="865"/>
      <c r="D55" s="865"/>
      <c r="E55" s="865"/>
      <c r="F55" s="865"/>
      <c r="G55" s="865"/>
      <c r="H55" s="865"/>
      <c r="I55" s="865"/>
      <c r="J55" s="865"/>
      <c r="K55" s="865"/>
      <c r="L55" s="865"/>
      <c r="M55" s="865"/>
      <c r="N55" s="866"/>
      <c r="O55" s="870">
        <f>SUM(O54:Q54)</f>
        <v>36306609.990000002</v>
      </c>
      <c r="P55" s="868"/>
      <c r="Q55" s="871"/>
      <c r="R55" s="870">
        <f>SUM(R54:V54)</f>
        <v>37854410.780000001</v>
      </c>
      <c r="S55" s="868"/>
      <c r="T55" s="868"/>
      <c r="U55" s="868"/>
      <c r="V55" s="871"/>
      <c r="W55" s="470"/>
    </row>
    <row r="56" spans="1:23" s="434" customFormat="1" ht="15.75" thickBot="1" x14ac:dyDescent="0.3">
      <c r="C56" s="507"/>
      <c r="D56" s="507"/>
      <c r="E56" s="507"/>
      <c r="F56" s="507"/>
      <c r="G56" s="507"/>
      <c r="H56" s="507"/>
      <c r="I56" s="507"/>
      <c r="J56" s="507"/>
      <c r="K56" s="507"/>
      <c r="L56" s="507"/>
      <c r="M56" s="507"/>
      <c r="N56" s="507"/>
      <c r="O56" s="858">
        <f>R55-O55</f>
        <v>1547800.7899999991</v>
      </c>
      <c r="P56" s="859"/>
      <c r="Q56" s="859"/>
      <c r="R56" s="859"/>
      <c r="S56" s="859"/>
      <c r="T56" s="859"/>
      <c r="U56" s="859"/>
      <c r="V56" s="860"/>
      <c r="W56" s="470"/>
    </row>
    <row r="57" spans="1:23" s="434" customFormat="1" x14ac:dyDescent="0.25">
      <c r="C57" s="507"/>
      <c r="D57" s="507"/>
      <c r="E57" s="507"/>
      <c r="F57" s="507"/>
      <c r="G57" s="507"/>
      <c r="H57" s="507"/>
      <c r="I57" s="507"/>
      <c r="J57" s="507"/>
      <c r="K57" s="507"/>
      <c r="L57" s="507"/>
      <c r="M57" s="507"/>
      <c r="N57" s="507"/>
      <c r="O57" s="507"/>
      <c r="P57" s="507"/>
      <c r="Q57" s="507"/>
      <c r="R57" s="507"/>
      <c r="S57" s="507"/>
      <c r="T57" s="507"/>
      <c r="U57" s="470"/>
      <c r="V57" s="470"/>
      <c r="W57" s="470"/>
    </row>
    <row r="58" spans="1:23" s="434" customFormat="1" x14ac:dyDescent="0.25">
      <c r="C58" s="507"/>
      <c r="D58" s="507"/>
      <c r="E58" s="507"/>
      <c r="F58" s="507"/>
      <c r="G58" s="507"/>
      <c r="H58" s="507"/>
      <c r="I58" s="507"/>
      <c r="J58" s="507"/>
      <c r="K58" s="507"/>
      <c r="L58" s="507"/>
      <c r="M58" s="507"/>
      <c r="N58" s="507"/>
      <c r="O58" s="507"/>
      <c r="P58" s="507"/>
      <c r="Q58" s="507"/>
      <c r="R58" s="507"/>
      <c r="S58" s="507"/>
      <c r="T58" s="507"/>
      <c r="U58" s="470"/>
      <c r="V58" s="470"/>
      <c r="W58" s="470"/>
    </row>
    <row r="59" spans="1:23" s="434" customFormat="1" x14ac:dyDescent="0.25">
      <c r="C59" s="507"/>
      <c r="D59" s="507"/>
      <c r="E59" s="507"/>
      <c r="F59" s="507"/>
      <c r="G59" s="507"/>
      <c r="H59" s="507"/>
      <c r="I59" s="507"/>
      <c r="J59" s="507"/>
      <c r="K59" s="507"/>
      <c r="L59" s="507"/>
      <c r="M59" s="507"/>
      <c r="N59" s="507"/>
      <c r="O59" s="507"/>
      <c r="P59" s="507"/>
      <c r="Q59" s="507"/>
      <c r="R59" s="507"/>
      <c r="S59" s="507"/>
      <c r="T59" s="507"/>
      <c r="U59" s="470"/>
      <c r="V59" s="470"/>
      <c r="W59" s="470"/>
    </row>
  </sheetData>
  <mergeCells count="34">
    <mergeCell ref="K4:K6"/>
    <mergeCell ref="D5:D6"/>
    <mergeCell ref="E5:E6"/>
    <mergeCell ref="A1:V1"/>
    <mergeCell ref="A2:A6"/>
    <mergeCell ref="B2:B6"/>
    <mergeCell ref="C2:K2"/>
    <mergeCell ref="M2:M6"/>
    <mergeCell ref="N2:Q4"/>
    <mergeCell ref="R2:V4"/>
    <mergeCell ref="C3:E3"/>
    <mergeCell ref="F3:H3"/>
    <mergeCell ref="O5:Q5"/>
    <mergeCell ref="R6:T6"/>
    <mergeCell ref="L2:L6"/>
    <mergeCell ref="A49:B49"/>
    <mergeCell ref="I3:I6"/>
    <mergeCell ref="J3:J6"/>
    <mergeCell ref="C4:C6"/>
    <mergeCell ref="D4:E4"/>
    <mergeCell ref="F4:F6"/>
    <mergeCell ref="G4:G6"/>
    <mergeCell ref="H4:H6"/>
    <mergeCell ref="A50:B50"/>
    <mergeCell ref="A51:B51"/>
    <mergeCell ref="A52:B52"/>
    <mergeCell ref="R52:T52"/>
    <mergeCell ref="A53:B53"/>
    <mergeCell ref="R53:T53"/>
    <mergeCell ref="O56:V56"/>
    <mergeCell ref="A54:N55"/>
    <mergeCell ref="R54:T54"/>
    <mergeCell ref="O55:Q55"/>
    <mergeCell ref="R55:V55"/>
  </mergeCells>
  <pageMargins left="0.7" right="0.7" top="0.75" bottom="0.75" header="0.3" footer="0.3"/>
  <pageSetup paperSize="9" scale="4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úverová zaťaženosť</vt:lpstr>
      <vt:lpstr>Čerpanie celkové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2024-05-15T11:13:12Z</cp:lastPrinted>
  <dcterms:created xsi:type="dcterms:W3CDTF">2013-01-26T12:47:58Z</dcterms:created>
  <dcterms:modified xsi:type="dcterms:W3CDTF">2024-05-30T06:48:45Z</dcterms:modified>
</cp:coreProperties>
</file>