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5\Záverečný účet 2025\Materiál\"/>
    </mc:Choice>
  </mc:AlternateContent>
  <xr:revisionPtr revIDLastSave="0" documentId="13_ncr:1_{9A365E0A-CD22-49C7-B867-A5C9593C5F05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úverová zaťaženosť" sheetId="13" r:id="rId8"/>
    <sheet name="Čerpanie celkové" sheetId="14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J55" i="14"/>
  <c r="D12" i="12"/>
  <c r="E97" i="5"/>
  <c r="E88" i="5"/>
  <c r="L22" i="13"/>
  <c r="L24" i="13" s="1"/>
  <c r="L23" i="13"/>
  <c r="H11" i="13"/>
  <c r="L19" i="13" s="1"/>
  <c r="H5" i="13"/>
  <c r="H6" i="13"/>
  <c r="H7" i="13"/>
  <c r="H8" i="13"/>
  <c r="H10" i="13"/>
  <c r="H12" i="13"/>
  <c r="H13" i="13"/>
  <c r="H14" i="13"/>
  <c r="H16" i="13"/>
  <c r="H17" i="13"/>
  <c r="F18" i="13"/>
  <c r="M18" i="13"/>
  <c r="L20" i="13" s="1"/>
  <c r="L18" i="13"/>
  <c r="R62" i="14"/>
  <c r="E30" i="7"/>
  <c r="D30" i="7"/>
  <c r="C30" i="7"/>
  <c r="C29" i="7"/>
  <c r="D29" i="7"/>
  <c r="E29" i="7"/>
  <c r="B30" i="7"/>
  <c r="B29" i="7"/>
  <c r="H18" i="13" l="1"/>
  <c r="R60" i="14"/>
  <c r="U60" i="14"/>
  <c r="V60" i="14"/>
  <c r="O12" i="14"/>
  <c r="O58" i="14"/>
  <c r="N10" i="14"/>
  <c r="D25" i="14"/>
  <c r="D9" i="14"/>
  <c r="E9" i="14"/>
  <c r="P7" i="14"/>
  <c r="O27" i="14"/>
  <c r="O26" i="14"/>
  <c r="O24" i="14"/>
  <c r="K27" i="14"/>
  <c r="K26" i="14"/>
  <c r="K11" i="14"/>
  <c r="K12" i="14"/>
  <c r="K13" i="14"/>
  <c r="K14" i="14"/>
  <c r="K15" i="14"/>
  <c r="K16" i="14"/>
  <c r="K10" i="14"/>
  <c r="K19" i="14"/>
  <c r="O19" i="14"/>
  <c r="P61" i="14"/>
  <c r="P56" i="14"/>
  <c r="O29" i="14"/>
  <c r="O43" i="14"/>
  <c r="P11" i="14"/>
  <c r="P12" i="14"/>
  <c r="P13" i="14"/>
  <c r="P14" i="14"/>
  <c r="P15" i="14"/>
  <c r="P16" i="14"/>
  <c r="P10" i="14"/>
  <c r="J26" i="14"/>
  <c r="J27" i="14"/>
  <c r="C27" i="14"/>
  <c r="C26" i="14"/>
  <c r="C11" i="14"/>
  <c r="C12" i="14"/>
  <c r="C13" i="14"/>
  <c r="C14" i="14"/>
  <c r="C15" i="14"/>
  <c r="C16" i="14"/>
  <c r="C17" i="14"/>
  <c r="C10" i="14"/>
  <c r="J10" i="14"/>
  <c r="L7" i="14"/>
  <c r="L18" i="14"/>
  <c r="L9" i="14"/>
  <c r="E29" i="14"/>
  <c r="D15" i="12"/>
  <c r="E136" i="5" l="1"/>
  <c r="D96" i="5"/>
  <c r="E92" i="5"/>
  <c r="D92" i="5"/>
  <c r="E93" i="5"/>
  <c r="D93" i="5"/>
  <c r="E90" i="5"/>
  <c r="D90" i="5"/>
  <c r="E95" i="5"/>
  <c r="D95" i="5"/>
  <c r="E94" i="5"/>
  <c r="D94" i="5"/>
  <c r="D88" i="5"/>
  <c r="E64" i="5"/>
  <c r="E53" i="5" l="1"/>
  <c r="D53" i="5"/>
  <c r="D97" i="5" l="1"/>
  <c r="E52" i="5"/>
  <c r="E22" i="5"/>
  <c r="D52" i="5"/>
  <c r="D22" i="5"/>
  <c r="E63" i="5"/>
  <c r="D63" i="5"/>
  <c r="D64" i="5"/>
  <c r="U9" i="14" l="1"/>
  <c r="U56" i="14" s="1"/>
  <c r="U59" i="14" s="1"/>
  <c r="U61" i="14" s="1"/>
  <c r="T9" i="14"/>
  <c r="E27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6" i="14"/>
  <c r="D16" i="14"/>
  <c r="E15" i="14"/>
  <c r="D15" i="14"/>
  <c r="E14" i="14"/>
  <c r="D14" i="14"/>
  <c r="E12" i="14"/>
  <c r="D12" i="14"/>
  <c r="E11" i="14"/>
  <c r="D11" i="14"/>
  <c r="E10" i="14"/>
  <c r="D10" i="14"/>
  <c r="U7" i="14" l="1"/>
  <c r="D136" i="5"/>
  <c r="D86" i="5"/>
  <c r="D87" i="5"/>
  <c r="D18" i="12" l="1"/>
  <c r="E11" i="5" l="1"/>
  <c r="C18" i="12" l="1"/>
  <c r="C12" i="12" l="1"/>
  <c r="E19" i="5" l="1"/>
  <c r="C31" i="12" l="1"/>
  <c r="D31" i="12"/>
  <c r="E5" i="5" l="1"/>
  <c r="S181" i="6" l="1"/>
  <c r="S180" i="6"/>
  <c r="S177" i="6"/>
  <c r="S176" i="6"/>
  <c r="S175" i="6"/>
  <c r="S174" i="6"/>
  <c r="S173" i="6" s="1"/>
  <c r="S172" i="6"/>
  <c r="S171" i="6"/>
  <c r="S170" i="6"/>
  <c r="S169" i="6"/>
  <c r="S168" i="6"/>
  <c r="S166" i="6"/>
  <c r="S165" i="6"/>
  <c r="S164" i="6"/>
  <c r="S163" i="6"/>
  <c r="S161" i="6"/>
  <c r="S160" i="6"/>
  <c r="S159" i="6"/>
  <c r="S158" i="6"/>
  <c r="S156" i="6"/>
  <c r="S155" i="6"/>
  <c r="S154" i="6"/>
  <c r="S139" i="6"/>
  <c r="S138" i="6"/>
  <c r="S136" i="6"/>
  <c r="S135" i="6"/>
  <c r="S134" i="6"/>
  <c r="S132" i="6"/>
  <c r="S130" i="6"/>
  <c r="S129" i="6"/>
  <c r="S128" i="6"/>
  <c r="S127" i="6"/>
  <c r="S126" i="6"/>
  <c r="S125" i="6"/>
  <c r="S124" i="6"/>
  <c r="S123" i="6"/>
  <c r="S121" i="6"/>
  <c r="S119" i="6"/>
  <c r="S118" i="6"/>
  <c r="S117" i="6"/>
  <c r="S116" i="6"/>
  <c r="S115" i="6"/>
  <c r="S114" i="6"/>
  <c r="S112" i="6"/>
  <c r="S111" i="6"/>
  <c r="S110" i="6"/>
  <c r="S109" i="6"/>
  <c r="S108" i="6"/>
  <c r="S107" i="6"/>
  <c r="S105" i="6"/>
  <c r="S104" i="6"/>
  <c r="S103" i="6"/>
  <c r="S102" i="6"/>
  <c r="S101" i="6"/>
  <c r="S100" i="6"/>
  <c r="S99" i="6"/>
  <c r="S98" i="6"/>
  <c r="S96" i="6"/>
  <c r="S94" i="6"/>
  <c r="S92" i="6"/>
  <c r="S90" i="6"/>
  <c r="S89" i="6"/>
  <c r="S87" i="6"/>
  <c r="S86" i="6"/>
  <c r="S84" i="6"/>
  <c r="S83" i="6"/>
  <c r="S82" i="6"/>
  <c r="S81" i="6"/>
  <c r="S80" i="6"/>
  <c r="S79" i="6"/>
  <c r="S78" i="6"/>
  <c r="S75" i="6"/>
  <c r="S74" i="6"/>
  <c r="S73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5" i="6"/>
  <c r="S44" i="6"/>
  <c r="S43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S21" i="6"/>
  <c r="S20" i="6"/>
  <c r="S19" i="6"/>
  <c r="S18" i="6"/>
  <c r="S17" i="6"/>
  <c r="S16" i="6"/>
  <c r="S15" i="6"/>
  <c r="S13" i="6"/>
  <c r="S12" i="6"/>
  <c r="S11" i="6"/>
  <c r="S10" i="6"/>
  <c r="R181" i="6"/>
  <c r="R178" i="6"/>
  <c r="R177" i="6"/>
  <c r="R176" i="6"/>
  <c r="R175" i="6"/>
  <c r="R174" i="6"/>
  <c r="R173" i="6" s="1"/>
  <c r="R172" i="6"/>
  <c r="R171" i="6"/>
  <c r="R170" i="6"/>
  <c r="R169" i="6"/>
  <c r="R168" i="6"/>
  <c r="R166" i="6"/>
  <c r="R165" i="6"/>
  <c r="R164" i="6"/>
  <c r="R163" i="6"/>
  <c r="R161" i="6"/>
  <c r="R160" i="6"/>
  <c r="R159" i="6"/>
  <c r="R158" i="6"/>
  <c r="R156" i="6"/>
  <c r="R155" i="6"/>
  <c r="R154" i="6"/>
  <c r="R139" i="6"/>
  <c r="R138" i="6"/>
  <c r="R137" i="6"/>
  <c r="R134" i="6"/>
  <c r="R132" i="6"/>
  <c r="R130" i="6"/>
  <c r="R129" i="6"/>
  <c r="R128" i="6"/>
  <c r="R127" i="6"/>
  <c r="R126" i="6"/>
  <c r="R125" i="6"/>
  <c r="R124" i="6"/>
  <c r="R123" i="6"/>
  <c r="R121" i="6"/>
  <c r="R119" i="6"/>
  <c r="R118" i="6"/>
  <c r="R117" i="6"/>
  <c r="R116" i="6"/>
  <c r="R115" i="6"/>
  <c r="R114" i="6"/>
  <c r="R112" i="6"/>
  <c r="R111" i="6"/>
  <c r="R110" i="6"/>
  <c r="R108" i="6"/>
  <c r="R105" i="6"/>
  <c r="R103" i="6"/>
  <c r="R101" i="6"/>
  <c r="R100" i="6"/>
  <c r="R99" i="6"/>
  <c r="R96" i="6"/>
  <c r="R94" i="6"/>
  <c r="R93" i="6" s="1"/>
  <c r="R92" i="6"/>
  <c r="R90" i="6"/>
  <c r="R86" i="6"/>
  <c r="R84" i="6"/>
  <c r="R83" i="6"/>
  <c r="R82" i="6"/>
  <c r="R81" i="6"/>
  <c r="R80" i="6"/>
  <c r="R78" i="6"/>
  <c r="R75" i="6"/>
  <c r="R74" i="6"/>
  <c r="R73" i="6"/>
  <c r="R71" i="6"/>
  <c r="R70" i="6"/>
  <c r="R67" i="6"/>
  <c r="R66" i="6"/>
  <c r="R64" i="6"/>
  <c r="R63" i="6"/>
  <c r="R62" i="6"/>
  <c r="R61" i="6"/>
  <c r="R59" i="6"/>
  <c r="R58" i="6"/>
  <c r="R57" i="6"/>
  <c r="R56" i="6"/>
  <c r="R51" i="6"/>
  <c r="R50" i="6"/>
  <c r="R47" i="6"/>
  <c r="R45" i="6"/>
  <c r="R44" i="6"/>
  <c r="R42" i="6"/>
  <c r="R41" i="6"/>
  <c r="R40" i="6"/>
  <c r="R38" i="6"/>
  <c r="R37" i="6"/>
  <c r="R35" i="6"/>
  <c r="R34" i="6"/>
  <c r="R33" i="6"/>
  <c r="R31" i="6"/>
  <c r="R30" i="6"/>
  <c r="R29" i="6"/>
  <c r="R28" i="6"/>
  <c r="R27" i="6"/>
  <c r="R26" i="6"/>
  <c r="R25" i="6"/>
  <c r="R24" i="6"/>
  <c r="R21" i="6"/>
  <c r="R20" i="6"/>
  <c r="R19" i="6"/>
  <c r="R16" i="6"/>
  <c r="R15" i="6"/>
  <c r="R13" i="6"/>
  <c r="R12" i="6"/>
  <c r="R10" i="6"/>
  <c r="Q181" i="6"/>
  <c r="Q172" i="6"/>
  <c r="Q164" i="6"/>
  <c r="Q160" i="6"/>
  <c r="Q155" i="6"/>
  <c r="Q139" i="6"/>
  <c r="Q138" i="6"/>
  <c r="Q119" i="6"/>
  <c r="Q117" i="6"/>
  <c r="Q115" i="6"/>
  <c r="Q114" i="6"/>
  <c r="Q105" i="6"/>
  <c r="Q101" i="6"/>
  <c r="Q94" i="6"/>
  <c r="Q93" i="6" s="1"/>
  <c r="Q86" i="6"/>
  <c r="Q84" i="6"/>
  <c r="Q83" i="6"/>
  <c r="Q79" i="6"/>
  <c r="Q78" i="6"/>
  <c r="Q74" i="6"/>
  <c r="Q73" i="6"/>
  <c r="Q70" i="6"/>
  <c r="Q67" i="6"/>
  <c r="Q64" i="6"/>
  <c r="Q61" i="6"/>
  <c r="Q58" i="6"/>
  <c r="Q51" i="6"/>
  <c r="Q50" i="6"/>
  <c r="Q45" i="6"/>
  <c r="Q33" i="6"/>
  <c r="Q30" i="6"/>
  <c r="Q29" i="6"/>
  <c r="Q28" i="6"/>
  <c r="Q27" i="6"/>
  <c r="Q25" i="6"/>
  <c r="Q24" i="6"/>
  <c r="Q21" i="6"/>
  <c r="Q19" i="6"/>
  <c r="Q13" i="6"/>
  <c r="O182" i="6"/>
  <c r="O181" i="6"/>
  <c r="O178" i="6"/>
  <c r="O177" i="6"/>
  <c r="O176" i="6"/>
  <c r="O175" i="6"/>
  <c r="O174" i="6"/>
  <c r="O173" i="6" s="1"/>
  <c r="O172" i="6"/>
  <c r="O171" i="6"/>
  <c r="O170" i="6"/>
  <c r="O169" i="6"/>
  <c r="O168" i="6"/>
  <c r="O166" i="6"/>
  <c r="O165" i="6"/>
  <c r="O164" i="6"/>
  <c r="O163" i="6"/>
  <c r="O161" i="6"/>
  <c r="O160" i="6"/>
  <c r="O159" i="6"/>
  <c r="O158" i="6"/>
  <c r="O156" i="6"/>
  <c r="O155" i="6"/>
  <c r="O154" i="6"/>
  <c r="O139" i="6"/>
  <c r="O138" i="6"/>
  <c r="O137" i="6"/>
  <c r="O136" i="6"/>
  <c r="O135" i="6"/>
  <c r="O134" i="6"/>
  <c r="O132" i="6"/>
  <c r="O45" i="6"/>
  <c r="O44" i="6"/>
  <c r="O43" i="6"/>
  <c r="O42" i="6"/>
  <c r="O41" i="6"/>
  <c r="O40" i="6"/>
  <c r="O38" i="6"/>
  <c r="O37" i="6"/>
  <c r="N182" i="6"/>
  <c r="N181" i="6"/>
  <c r="N178" i="6"/>
  <c r="N177" i="6"/>
  <c r="N176" i="6"/>
  <c r="N175" i="6"/>
  <c r="N174" i="6"/>
  <c r="N173" i="6" s="1"/>
  <c r="N172" i="6"/>
  <c r="N171" i="6"/>
  <c r="N170" i="6"/>
  <c r="N169" i="6"/>
  <c r="N168" i="6"/>
  <c r="N166" i="6"/>
  <c r="N165" i="6"/>
  <c r="N164" i="6"/>
  <c r="N163" i="6"/>
  <c r="N161" i="6"/>
  <c r="N160" i="6"/>
  <c r="N159" i="6"/>
  <c r="N158" i="6"/>
  <c r="N156" i="6"/>
  <c r="N155" i="6"/>
  <c r="N154" i="6"/>
  <c r="N47" i="6"/>
  <c r="N45" i="6"/>
  <c r="N44" i="6"/>
  <c r="N42" i="6"/>
  <c r="N41" i="6"/>
  <c r="N40" i="6"/>
  <c r="N38" i="6"/>
  <c r="N37" i="6"/>
  <c r="M182" i="6"/>
  <c r="M181" i="6"/>
  <c r="M177" i="6"/>
  <c r="M176" i="6"/>
  <c r="M175" i="6"/>
  <c r="M172" i="6"/>
  <c r="M171" i="6"/>
  <c r="M170" i="6"/>
  <c r="M169" i="6"/>
  <c r="M168" i="6"/>
  <c r="M166" i="6"/>
  <c r="M165" i="6"/>
  <c r="M164" i="6"/>
  <c r="M163" i="6"/>
  <c r="M161" i="6"/>
  <c r="M160" i="6"/>
  <c r="M159" i="6"/>
  <c r="M158" i="6"/>
  <c r="M156" i="6"/>
  <c r="M155" i="6"/>
  <c r="M154" i="6"/>
  <c r="M139" i="6"/>
  <c r="M138" i="6"/>
  <c r="M134" i="6"/>
  <c r="M128" i="6"/>
  <c r="M130" i="6"/>
  <c r="O130" i="6"/>
  <c r="N130" i="6"/>
  <c r="O129" i="6"/>
  <c r="N129" i="6"/>
  <c r="O128" i="6"/>
  <c r="N128" i="6"/>
  <c r="O127" i="6"/>
  <c r="N127" i="6"/>
  <c r="M129" i="6"/>
  <c r="M127" i="6"/>
  <c r="O126" i="6"/>
  <c r="O125" i="6"/>
  <c r="O124" i="6"/>
  <c r="O123" i="6"/>
  <c r="O121" i="6"/>
  <c r="N139" i="6"/>
  <c r="N138" i="6"/>
  <c r="N137" i="6"/>
  <c r="N136" i="6"/>
  <c r="N135" i="6"/>
  <c r="N134" i="6"/>
  <c r="N132" i="6"/>
  <c r="N126" i="6"/>
  <c r="N125" i="6"/>
  <c r="N124" i="6"/>
  <c r="N123" i="6"/>
  <c r="N121" i="6"/>
  <c r="O119" i="6"/>
  <c r="N119" i="6"/>
  <c r="O118" i="6"/>
  <c r="O117" i="6"/>
  <c r="N117" i="6"/>
  <c r="O116" i="6"/>
  <c r="N116" i="6"/>
  <c r="O115" i="6"/>
  <c r="N115" i="6"/>
  <c r="O114" i="6"/>
  <c r="N114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5" i="6"/>
  <c r="N105" i="6"/>
  <c r="O104" i="6"/>
  <c r="O103" i="6"/>
  <c r="N103" i="6"/>
  <c r="O102" i="6"/>
  <c r="N102" i="6"/>
  <c r="O101" i="6"/>
  <c r="N101" i="6"/>
  <c r="O100" i="6"/>
  <c r="N100" i="6"/>
  <c r="O99" i="6"/>
  <c r="N99" i="6"/>
  <c r="O98" i="6"/>
  <c r="O96" i="6"/>
  <c r="M119" i="6"/>
  <c r="M117" i="6"/>
  <c r="M115" i="6"/>
  <c r="M114" i="6"/>
  <c r="M112" i="6"/>
  <c r="M111" i="6"/>
  <c r="M110" i="6"/>
  <c r="M109" i="6"/>
  <c r="M108" i="6"/>
  <c r="M107" i="6"/>
  <c r="M105" i="6"/>
  <c r="M104" i="6"/>
  <c r="M103" i="6"/>
  <c r="M102" i="6"/>
  <c r="M101" i="6"/>
  <c r="M100" i="6"/>
  <c r="M99" i="6"/>
  <c r="M98" i="6"/>
  <c r="M94" i="6"/>
  <c r="M92" i="6"/>
  <c r="O94" i="6"/>
  <c r="O93" i="6" s="1"/>
  <c r="O92" i="6"/>
  <c r="O90" i="6"/>
  <c r="O89" i="6"/>
  <c r="O87" i="6"/>
  <c r="O86" i="6"/>
  <c r="O84" i="6"/>
  <c r="O83" i="6"/>
  <c r="O82" i="6"/>
  <c r="O81" i="6"/>
  <c r="O80" i="6"/>
  <c r="O79" i="6"/>
  <c r="O78" i="6"/>
  <c r="N96" i="6"/>
  <c r="N94" i="6"/>
  <c r="N93" i="6" s="1"/>
  <c r="N92" i="6"/>
  <c r="N90" i="6"/>
  <c r="N87" i="6"/>
  <c r="N86" i="6"/>
  <c r="N84" i="6"/>
  <c r="N83" i="6"/>
  <c r="N82" i="6"/>
  <c r="N81" i="6"/>
  <c r="N80" i="6"/>
  <c r="N79" i="6"/>
  <c r="N78" i="6"/>
  <c r="M87" i="6"/>
  <c r="M86" i="6"/>
  <c r="M84" i="6"/>
  <c r="M83" i="6"/>
  <c r="M82" i="6"/>
  <c r="M81" i="6"/>
  <c r="M80" i="6"/>
  <c r="M79" i="6"/>
  <c r="M78" i="6"/>
  <c r="O75" i="6"/>
  <c r="O74" i="6"/>
  <c r="O73" i="6"/>
  <c r="O71" i="6"/>
  <c r="O70" i="6"/>
  <c r="N75" i="6"/>
  <c r="N74" i="6"/>
  <c r="N73" i="6"/>
  <c r="N71" i="6"/>
  <c r="N70" i="6"/>
  <c r="M74" i="6"/>
  <c r="M73" i="6"/>
  <c r="O67" i="6"/>
  <c r="N67" i="6"/>
  <c r="O66" i="6"/>
  <c r="N66" i="6"/>
  <c r="M66" i="6"/>
  <c r="O64" i="6"/>
  <c r="N64" i="6"/>
  <c r="O63" i="6"/>
  <c r="N63" i="6"/>
  <c r="O62" i="6"/>
  <c r="N62" i="6"/>
  <c r="O61" i="6"/>
  <c r="N61" i="6"/>
  <c r="O59" i="6"/>
  <c r="N59" i="6"/>
  <c r="O58" i="6"/>
  <c r="N58" i="6"/>
  <c r="O57" i="6"/>
  <c r="N57" i="6"/>
  <c r="O56" i="6"/>
  <c r="N56" i="6"/>
  <c r="O55" i="6"/>
  <c r="N55" i="6"/>
  <c r="O54" i="6"/>
  <c r="N54" i="6"/>
  <c r="M67" i="6"/>
  <c r="M64" i="6"/>
  <c r="M63" i="6"/>
  <c r="M62" i="6"/>
  <c r="M61" i="6"/>
  <c r="M58" i="6"/>
  <c r="M57" i="6"/>
  <c r="M56" i="6"/>
  <c r="O51" i="6"/>
  <c r="O50" i="6"/>
  <c r="O49" i="6"/>
  <c r="O47" i="6"/>
  <c r="N51" i="6"/>
  <c r="N50" i="6"/>
  <c r="N49" i="6"/>
  <c r="M51" i="6"/>
  <c r="M50" i="6"/>
  <c r="M49" i="6"/>
  <c r="M47" i="6"/>
  <c r="M45" i="6"/>
  <c r="M44" i="6"/>
  <c r="M41" i="6"/>
  <c r="M40" i="6"/>
  <c r="M38" i="6"/>
  <c r="M37" i="6"/>
  <c r="O35" i="6"/>
  <c r="O34" i="6"/>
  <c r="O33" i="6"/>
  <c r="O31" i="6"/>
  <c r="O30" i="6"/>
  <c r="O29" i="6"/>
  <c r="O28" i="6"/>
  <c r="O27" i="6"/>
  <c r="O26" i="6"/>
  <c r="O25" i="6"/>
  <c r="O24" i="6"/>
  <c r="N35" i="6"/>
  <c r="N34" i="6"/>
  <c r="N33" i="6"/>
  <c r="N31" i="6"/>
  <c r="N30" i="6"/>
  <c r="N29" i="6"/>
  <c r="N28" i="6"/>
  <c r="N27" i="6"/>
  <c r="N26" i="6"/>
  <c r="N25" i="6"/>
  <c r="N24" i="6"/>
  <c r="M35" i="6"/>
  <c r="M34" i="6"/>
  <c r="M33" i="6"/>
  <c r="M31" i="6"/>
  <c r="M30" i="6"/>
  <c r="M29" i="6"/>
  <c r="M28" i="6"/>
  <c r="M27" i="6"/>
  <c r="M26" i="6"/>
  <c r="M25" i="6"/>
  <c r="M24" i="6"/>
  <c r="O21" i="6"/>
  <c r="O20" i="6"/>
  <c r="O19" i="6"/>
  <c r="O18" i="6"/>
  <c r="O17" i="6"/>
  <c r="O16" i="6"/>
  <c r="O15" i="6"/>
  <c r="O13" i="6"/>
  <c r="O12" i="6"/>
  <c r="O11" i="6"/>
  <c r="O10" i="6"/>
  <c r="N21" i="6"/>
  <c r="N20" i="6"/>
  <c r="N19" i="6"/>
  <c r="N18" i="6"/>
  <c r="N17" i="6"/>
  <c r="N16" i="6"/>
  <c r="N15" i="6"/>
  <c r="N13" i="6"/>
  <c r="N12" i="6"/>
  <c r="N11" i="6"/>
  <c r="N10" i="6"/>
  <c r="M21" i="6"/>
  <c r="M20" i="6"/>
  <c r="M19" i="6"/>
  <c r="M18" i="6"/>
  <c r="M17" i="6"/>
  <c r="M15" i="6"/>
  <c r="M13" i="6"/>
  <c r="M12" i="6"/>
  <c r="M11" i="6"/>
  <c r="P58" i="6" l="1"/>
  <c r="P61" i="6"/>
  <c r="L139" i="6"/>
  <c r="O48" i="6"/>
  <c r="O46" i="6" s="1"/>
  <c r="O69" i="6"/>
  <c r="L28" i="6"/>
  <c r="P105" i="6"/>
  <c r="P94" i="6"/>
  <c r="P93" i="6" s="1"/>
  <c r="L177" i="6"/>
  <c r="R113" i="6"/>
  <c r="L37" i="6"/>
  <c r="P29" i="6"/>
  <c r="S72" i="6"/>
  <c r="S88" i="6"/>
  <c r="P84" i="6"/>
  <c r="P138" i="6"/>
  <c r="R32" i="6"/>
  <c r="S65" i="6"/>
  <c r="L161" i="6"/>
  <c r="L176" i="6"/>
  <c r="P172" i="6"/>
  <c r="P67" i="6"/>
  <c r="S93" i="6"/>
  <c r="S91" i="6" s="1"/>
  <c r="P101" i="6"/>
  <c r="P115" i="6"/>
  <c r="O88" i="6"/>
  <c r="L155" i="6"/>
  <c r="L170" i="6"/>
  <c r="L172" i="6"/>
  <c r="L41" i="6"/>
  <c r="P13" i="6"/>
  <c r="M32" i="6"/>
  <c r="S97" i="6"/>
  <c r="N32" i="6"/>
  <c r="P51" i="6"/>
  <c r="L61" i="6"/>
  <c r="R167" i="6"/>
  <c r="S69" i="6"/>
  <c r="S85" i="6"/>
  <c r="S162" i="6"/>
  <c r="L35" i="6"/>
  <c r="L38" i="6"/>
  <c r="N48" i="6"/>
  <c r="N46" i="6" s="1"/>
  <c r="L44" i="6"/>
  <c r="P73" i="6"/>
  <c r="L119" i="6"/>
  <c r="N162" i="6"/>
  <c r="R91" i="6"/>
  <c r="R153" i="6"/>
  <c r="S9" i="6"/>
  <c r="P27" i="6"/>
  <c r="S39" i="6"/>
  <c r="S36" i="6" s="1"/>
  <c r="L86" i="6"/>
  <c r="L163" i="6"/>
  <c r="P119" i="6"/>
  <c r="L182" i="6"/>
  <c r="M113" i="6"/>
  <c r="P164" i="6"/>
  <c r="L29" i="6"/>
  <c r="L33" i="6"/>
  <c r="N65" i="6"/>
  <c r="N72" i="6"/>
  <c r="M77" i="6"/>
  <c r="N69" i="6"/>
  <c r="O65" i="6"/>
  <c r="L99" i="6"/>
  <c r="L112" i="6"/>
  <c r="R122" i="6"/>
  <c r="R120" i="6" s="1"/>
  <c r="L19" i="6"/>
  <c r="L114" i="6"/>
  <c r="L138" i="6"/>
  <c r="L160" i="6"/>
  <c r="L175" i="6"/>
  <c r="P25" i="6"/>
  <c r="P45" i="6"/>
  <c r="L45" i="6"/>
  <c r="S153" i="6"/>
  <c r="M85" i="6"/>
  <c r="L30" i="6"/>
  <c r="L73" i="6"/>
  <c r="O32" i="6"/>
  <c r="R162" i="6"/>
  <c r="S32" i="6"/>
  <c r="S113" i="6"/>
  <c r="O91" i="6"/>
  <c r="O39" i="6"/>
  <c r="O36" i="6" s="1"/>
  <c r="O162" i="6"/>
  <c r="L31" i="6"/>
  <c r="L159" i="6"/>
  <c r="P70" i="6"/>
  <c r="P86" i="6"/>
  <c r="P64" i="6"/>
  <c r="S77" i="6"/>
  <c r="L84" i="6"/>
  <c r="L81" i="6"/>
  <c r="O72" i="6"/>
  <c r="O85" i="6"/>
  <c r="L166" i="6"/>
  <c r="L80" i="6"/>
  <c r="S48" i="6"/>
  <c r="S46" i="6" s="1"/>
  <c r="L40" i="6"/>
  <c r="L82" i="6"/>
  <c r="R69" i="6"/>
  <c r="P19" i="6"/>
  <c r="N14" i="6"/>
  <c r="L27" i="6"/>
  <c r="L87" i="6"/>
  <c r="P33" i="6"/>
  <c r="P74" i="6"/>
  <c r="P21" i="6"/>
  <c r="P117" i="6"/>
  <c r="L105" i="6"/>
  <c r="L156" i="6"/>
  <c r="L171" i="6"/>
  <c r="L21" i="6"/>
  <c r="L74" i="6"/>
  <c r="S60" i="6"/>
  <c r="L181" i="6"/>
  <c r="L24" i="6"/>
  <c r="L102" i="6"/>
  <c r="L109" i="6"/>
  <c r="L64" i="6"/>
  <c r="L92" i="6"/>
  <c r="P30" i="6"/>
  <c r="S167" i="6"/>
  <c r="P160" i="6"/>
  <c r="S157" i="6"/>
  <c r="S122" i="6"/>
  <c r="S120" i="6" s="1"/>
  <c r="S106" i="6"/>
  <c r="P83" i="6"/>
  <c r="S53" i="6"/>
  <c r="P50" i="6"/>
  <c r="S23" i="6"/>
  <c r="S14" i="6"/>
  <c r="P181" i="6"/>
  <c r="R157" i="6"/>
  <c r="P155" i="6"/>
  <c r="P139" i="6"/>
  <c r="P78" i="6"/>
  <c r="R72" i="6"/>
  <c r="R65" i="6"/>
  <c r="R60" i="6"/>
  <c r="R23" i="6"/>
  <c r="P28" i="6"/>
  <c r="Q113" i="6"/>
  <c r="P114" i="6"/>
  <c r="Q72" i="6"/>
  <c r="P24" i="6"/>
  <c r="L169" i="6"/>
  <c r="O167" i="6"/>
  <c r="O157" i="6"/>
  <c r="O153" i="6"/>
  <c r="O133" i="6"/>
  <c r="O131" i="6" s="1"/>
  <c r="L134" i="6"/>
  <c r="N167" i="6"/>
  <c r="L168" i="6"/>
  <c r="L165" i="6"/>
  <c r="L164" i="6"/>
  <c r="N157" i="6"/>
  <c r="N153" i="6"/>
  <c r="L154" i="6"/>
  <c r="M167" i="6"/>
  <c r="M157" i="6"/>
  <c r="L158" i="6"/>
  <c r="L128" i="6"/>
  <c r="O122" i="6"/>
  <c r="O120" i="6" s="1"/>
  <c r="L130" i="6"/>
  <c r="N122" i="6"/>
  <c r="N120" i="6" s="1"/>
  <c r="L127" i="6"/>
  <c r="L129" i="6"/>
  <c r="O113" i="6"/>
  <c r="L111" i="6"/>
  <c r="O106" i="6"/>
  <c r="O97" i="6"/>
  <c r="L117" i="6"/>
  <c r="N113" i="6"/>
  <c r="L108" i="6"/>
  <c r="L110" i="6"/>
  <c r="L107" i="6"/>
  <c r="L101" i="6"/>
  <c r="M106" i="6"/>
  <c r="M97" i="6"/>
  <c r="L94" i="6"/>
  <c r="L93" i="6" s="1"/>
  <c r="O77" i="6"/>
  <c r="L103" i="6"/>
  <c r="L100" i="6"/>
  <c r="N77" i="6"/>
  <c r="L78" i="6"/>
  <c r="L83" i="6"/>
  <c r="L63" i="6"/>
  <c r="L57" i="6"/>
  <c r="O60" i="6"/>
  <c r="O53" i="6"/>
  <c r="L66" i="6"/>
  <c r="N60" i="6"/>
  <c r="L58" i="6"/>
  <c r="N53" i="6"/>
  <c r="M65" i="6"/>
  <c r="L62" i="6"/>
  <c r="L56" i="6"/>
  <c r="L51" i="6"/>
  <c r="L47" i="6"/>
  <c r="L49" i="6"/>
  <c r="L50" i="6"/>
  <c r="O23" i="6"/>
  <c r="L26" i="6"/>
  <c r="N23" i="6"/>
  <c r="M23" i="6"/>
  <c r="M48" i="6"/>
  <c r="M46" i="6" s="1"/>
  <c r="M60" i="6"/>
  <c r="M72" i="6"/>
  <c r="M93" i="6"/>
  <c r="M91" i="6" s="1"/>
  <c r="M153" i="6"/>
  <c r="M162" i="6"/>
  <c r="L25" i="6"/>
  <c r="L34" i="6"/>
  <c r="L67" i="6"/>
  <c r="L79" i="6"/>
  <c r="L115" i="6"/>
  <c r="N85" i="6"/>
  <c r="N91" i="6"/>
  <c r="N106" i="6"/>
  <c r="N133" i="6"/>
  <c r="N131" i="6" s="1"/>
  <c r="L18" i="6"/>
  <c r="O14" i="6"/>
  <c r="O9" i="6"/>
  <c r="L13" i="6"/>
  <c r="L12" i="6"/>
  <c r="N9" i="6"/>
  <c r="L11" i="6"/>
  <c r="L20" i="6"/>
  <c r="L17" i="6"/>
  <c r="L15" i="6"/>
  <c r="M22" i="6" l="1"/>
  <c r="L85" i="6"/>
  <c r="O68" i="6"/>
  <c r="L32" i="6"/>
  <c r="R152" i="6"/>
  <c r="L72" i="6"/>
  <c r="L113" i="6"/>
  <c r="R22" i="6"/>
  <c r="S68" i="6"/>
  <c r="S8" i="6"/>
  <c r="S22" i="6"/>
  <c r="L157" i="6"/>
  <c r="N68" i="6"/>
  <c r="N22" i="6"/>
  <c r="S152" i="6"/>
  <c r="P113" i="6"/>
  <c r="S76" i="6"/>
  <c r="O76" i="6"/>
  <c r="S95" i="6"/>
  <c r="L162" i="6"/>
  <c r="P72" i="6"/>
  <c r="L153" i="6"/>
  <c r="N8" i="6"/>
  <c r="O22" i="6"/>
  <c r="R68" i="6"/>
  <c r="L48" i="6"/>
  <c r="L46" i="6" s="1"/>
  <c r="S52" i="6"/>
  <c r="L91" i="6"/>
  <c r="L167" i="6"/>
  <c r="O152" i="6"/>
  <c r="N152" i="6"/>
  <c r="O52" i="6"/>
  <c r="O95" i="6"/>
  <c r="L106" i="6"/>
  <c r="L77" i="6"/>
  <c r="N52" i="6"/>
  <c r="L60" i="6"/>
  <c r="L65" i="6"/>
  <c r="L23" i="6"/>
  <c r="O8" i="6"/>
  <c r="D133" i="5"/>
  <c r="D19" i="5"/>
  <c r="D5" i="5"/>
  <c r="E133" i="5"/>
  <c r="D112" i="5"/>
  <c r="E112" i="5"/>
  <c r="D108" i="5"/>
  <c r="E108" i="5"/>
  <c r="D65" i="5"/>
  <c r="E65" i="5"/>
  <c r="D55" i="5"/>
  <c r="E55" i="5"/>
  <c r="D32" i="5"/>
  <c r="E32" i="5"/>
  <c r="D9" i="5"/>
  <c r="E9" i="5"/>
  <c r="D7" i="5"/>
  <c r="E7" i="5"/>
  <c r="D12" i="7" l="1"/>
  <c r="D28" i="7"/>
  <c r="E107" i="5"/>
  <c r="L22" i="6"/>
  <c r="E12" i="7"/>
  <c r="V64" i="14" s="1"/>
  <c r="E28" i="7"/>
  <c r="D107" i="5"/>
  <c r="E27" i="7"/>
  <c r="D27" i="7"/>
  <c r="E4" i="5"/>
  <c r="D4" i="5"/>
  <c r="D26" i="7" s="1"/>
  <c r="D18" i="5"/>
  <c r="E18" i="5"/>
  <c r="E26" i="7" l="1"/>
  <c r="E36" i="7" s="1"/>
  <c r="D8" i="7"/>
  <c r="E8" i="7"/>
  <c r="U64" i="14" s="1"/>
  <c r="D3" i="5"/>
  <c r="D36" i="7"/>
  <c r="E3" i="5"/>
  <c r="O57" i="14"/>
  <c r="P23" i="14"/>
  <c r="E143" i="5" l="1"/>
  <c r="D143" i="5"/>
  <c r="D4" i="7"/>
  <c r="E4" i="7"/>
  <c r="R64" i="14" l="1"/>
  <c r="D16" i="7"/>
  <c r="D21" i="7"/>
  <c r="E16" i="7"/>
  <c r="E21" i="7"/>
  <c r="C52" i="5"/>
  <c r="C97" i="5" l="1"/>
  <c r="C64" i="5"/>
  <c r="C53" i="5" l="1"/>
  <c r="C22" i="5"/>
  <c r="C63" i="5"/>
  <c r="O38" i="14" l="1"/>
  <c r="O40" i="14"/>
  <c r="O50" i="14"/>
  <c r="O49" i="14"/>
  <c r="O48" i="14"/>
  <c r="C94" i="5" l="1"/>
  <c r="C136" i="5" l="1"/>
  <c r="C19" i="5" l="1"/>
  <c r="K181" i="6" l="1"/>
  <c r="K180" i="6"/>
  <c r="K177" i="6"/>
  <c r="K176" i="6"/>
  <c r="K175" i="6"/>
  <c r="K174" i="6"/>
  <c r="K172" i="6"/>
  <c r="K171" i="6"/>
  <c r="K170" i="6"/>
  <c r="K169" i="6"/>
  <c r="K168" i="6"/>
  <c r="K166" i="6"/>
  <c r="K165" i="6"/>
  <c r="K164" i="6"/>
  <c r="K163" i="6"/>
  <c r="K161" i="6"/>
  <c r="K160" i="6"/>
  <c r="K159" i="6"/>
  <c r="K158" i="6"/>
  <c r="K156" i="6"/>
  <c r="K155" i="6"/>
  <c r="K154" i="6"/>
  <c r="K139" i="6"/>
  <c r="K138" i="6"/>
  <c r="K137" i="6"/>
  <c r="K136" i="6"/>
  <c r="K135" i="6"/>
  <c r="K134" i="6"/>
  <c r="K132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81" i="6"/>
  <c r="J178" i="6"/>
  <c r="J177" i="6"/>
  <c r="J176" i="6"/>
  <c r="J175" i="6"/>
  <c r="J174" i="6"/>
  <c r="J172" i="6"/>
  <c r="J171" i="6"/>
  <c r="J170" i="6"/>
  <c r="J169" i="6"/>
  <c r="J168" i="6"/>
  <c r="J166" i="6"/>
  <c r="J165" i="6"/>
  <c r="J164" i="6"/>
  <c r="J163" i="6"/>
  <c r="J161" i="6"/>
  <c r="J160" i="6"/>
  <c r="J159" i="6"/>
  <c r="J158" i="6"/>
  <c r="J156" i="6"/>
  <c r="J155" i="6"/>
  <c r="J154" i="6"/>
  <c r="J139" i="6"/>
  <c r="J138" i="6"/>
  <c r="J137" i="6"/>
  <c r="J135" i="6"/>
  <c r="J134" i="6"/>
  <c r="J132" i="6"/>
  <c r="J119" i="6"/>
  <c r="J118" i="6"/>
  <c r="J117" i="6"/>
  <c r="J116" i="6"/>
  <c r="J115" i="6"/>
  <c r="J114" i="6"/>
  <c r="J112" i="6"/>
  <c r="J110" i="6"/>
  <c r="J109" i="6"/>
  <c r="J108" i="6"/>
  <c r="J105" i="6"/>
  <c r="J104" i="6"/>
  <c r="J103" i="6"/>
  <c r="J102" i="6"/>
  <c r="J101" i="6"/>
  <c r="J100" i="6"/>
  <c r="J99" i="6"/>
  <c r="J98" i="6"/>
  <c r="J96" i="6"/>
  <c r="J94" i="6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59" i="6"/>
  <c r="J58" i="6"/>
  <c r="J57" i="6"/>
  <c r="J56" i="6"/>
  <c r="J51" i="6"/>
  <c r="J45" i="6"/>
  <c r="J44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1" i="6"/>
  <c r="I164" i="6"/>
  <c r="I160" i="6"/>
  <c r="I155" i="6"/>
  <c r="I138" i="6"/>
  <c r="I119" i="6"/>
  <c r="I117" i="6"/>
  <c r="I115" i="6"/>
  <c r="I114" i="6"/>
  <c r="I105" i="6"/>
  <c r="I104" i="6"/>
  <c r="I103" i="6"/>
  <c r="I102" i="6"/>
  <c r="I101" i="6"/>
  <c r="I100" i="6"/>
  <c r="I99" i="6"/>
  <c r="I98" i="6"/>
  <c r="I94" i="6"/>
  <c r="I90" i="6"/>
  <c r="I89" i="6"/>
  <c r="I86" i="6"/>
  <c r="I84" i="6"/>
  <c r="I79" i="6"/>
  <c r="I78" i="6"/>
  <c r="I74" i="6"/>
  <c r="I73" i="6"/>
  <c r="I70" i="6"/>
  <c r="I67" i="6"/>
  <c r="I64" i="6"/>
  <c r="I58" i="6"/>
  <c r="I51" i="6"/>
  <c r="I45" i="6"/>
  <c r="I43" i="6"/>
  <c r="I30" i="6"/>
  <c r="I29" i="6"/>
  <c r="I28" i="6"/>
  <c r="I27" i="6"/>
  <c r="I21" i="6"/>
  <c r="I20" i="6"/>
  <c r="I16" i="6"/>
  <c r="I13" i="6"/>
  <c r="K23" i="6" l="1"/>
  <c r="K113" i="6"/>
  <c r="J173" i="6" l="1"/>
  <c r="K173" i="6"/>
  <c r="J113" i="6"/>
  <c r="I113" i="6"/>
  <c r="H99" i="6"/>
  <c r="K93" i="6"/>
  <c r="I93" i="6"/>
  <c r="I88" i="6"/>
  <c r="J72" i="6"/>
  <c r="I72" i="6"/>
  <c r="H16" i="6"/>
  <c r="C133" i="5"/>
  <c r="C112" i="5"/>
  <c r="C108" i="5"/>
  <c r="C65" i="5"/>
  <c r="C55" i="5"/>
  <c r="C9" i="5"/>
  <c r="C7" i="5"/>
  <c r="C5" i="5"/>
  <c r="C28" i="7" l="1"/>
  <c r="C12" i="7"/>
  <c r="K85" i="6"/>
  <c r="K167" i="6"/>
  <c r="K72" i="6"/>
  <c r="H84" i="6"/>
  <c r="K91" i="6"/>
  <c r="H100" i="6"/>
  <c r="H102" i="6"/>
  <c r="J167" i="6"/>
  <c r="K97" i="6"/>
  <c r="K153" i="6"/>
  <c r="H117" i="6"/>
  <c r="H13" i="6"/>
  <c r="H164" i="6"/>
  <c r="H45" i="6"/>
  <c r="J157" i="6"/>
  <c r="J65" i="6"/>
  <c r="J69" i="6"/>
  <c r="J68" i="6" s="1"/>
  <c r="J153" i="6"/>
  <c r="J23" i="6"/>
  <c r="H155" i="6"/>
  <c r="H104" i="6"/>
  <c r="H27" i="6"/>
  <c r="H98" i="6"/>
  <c r="H20" i="6"/>
  <c r="K9" i="6"/>
  <c r="K65" i="6"/>
  <c r="I97" i="6"/>
  <c r="J162" i="6"/>
  <c r="H105" i="6"/>
  <c r="K106" i="6"/>
  <c r="H138" i="6"/>
  <c r="K157" i="6"/>
  <c r="K162" i="6"/>
  <c r="K77" i="6"/>
  <c r="H90" i="6"/>
  <c r="H114" i="6"/>
  <c r="H119" i="6"/>
  <c r="H181" i="6"/>
  <c r="H51" i="6"/>
  <c r="H28" i="6"/>
  <c r="J32" i="6"/>
  <c r="K88" i="6"/>
  <c r="K133" i="6"/>
  <c r="K131" i="6" s="1"/>
  <c r="H74" i="6"/>
  <c r="H103" i="6"/>
  <c r="H160" i="6"/>
  <c r="H30" i="6"/>
  <c r="K39" i="6"/>
  <c r="K36" i="6" s="1"/>
  <c r="K60" i="6"/>
  <c r="H101" i="6"/>
  <c r="K69" i="6"/>
  <c r="H29" i="6"/>
  <c r="K32" i="6"/>
  <c r="K14" i="6"/>
  <c r="H115" i="6"/>
  <c r="H86" i="6"/>
  <c r="H58" i="6"/>
  <c r="H67" i="6"/>
  <c r="H78" i="6"/>
  <c r="J97" i="6"/>
  <c r="H70" i="6"/>
  <c r="H21" i="6"/>
  <c r="H73" i="6"/>
  <c r="K53" i="6"/>
  <c r="J93" i="6"/>
  <c r="J91" i="6" s="1"/>
  <c r="H94" i="6"/>
  <c r="H93" i="6" s="1"/>
  <c r="H64" i="6"/>
  <c r="C4" i="5"/>
  <c r="C26" i="7" s="1"/>
  <c r="C32" i="5"/>
  <c r="C107" i="5"/>
  <c r="C8" i="7" s="1"/>
  <c r="H72" i="6" l="1"/>
  <c r="C18" i="5"/>
  <c r="C27" i="7"/>
  <c r="K152" i="6"/>
  <c r="K95" i="6"/>
  <c r="K68" i="6"/>
  <c r="K8" i="6"/>
  <c r="J152" i="6"/>
  <c r="J22" i="6"/>
  <c r="H113" i="6"/>
  <c r="H97" i="6"/>
  <c r="K22" i="6"/>
  <c r="K76" i="6"/>
  <c r="K52" i="6"/>
  <c r="C3" i="5" l="1"/>
  <c r="C36" i="7"/>
  <c r="C4" i="7" l="1"/>
  <c r="C143" i="5"/>
  <c r="C16" i="7" l="1"/>
  <c r="C21" i="7"/>
  <c r="B97" i="5"/>
  <c r="B52" i="5"/>
  <c r="B22" i="5"/>
  <c r="B63" i="5"/>
  <c r="B53" i="5"/>
  <c r="O47" i="14" l="1"/>
  <c r="E56" i="14"/>
  <c r="N47" i="14" l="1"/>
  <c r="B136" i="5"/>
  <c r="B58" i="5" l="1"/>
  <c r="B94" i="5" l="1"/>
  <c r="B133" i="5" l="1"/>
  <c r="B112" i="5"/>
  <c r="B108" i="5"/>
  <c r="B65" i="5"/>
  <c r="B55" i="5"/>
  <c r="B32" i="5"/>
  <c r="B19" i="5"/>
  <c r="B9" i="5"/>
  <c r="B7" i="5"/>
  <c r="B5" i="5"/>
  <c r="B107" i="5" l="1"/>
  <c r="B18" i="5"/>
  <c r="B4" i="5"/>
  <c r="B3" i="5" l="1"/>
  <c r="B143" i="5" l="1"/>
  <c r="B4" i="7"/>
  <c r="G181" i="6"/>
  <c r="G177" i="6"/>
  <c r="G176" i="6"/>
  <c r="G175" i="6"/>
  <c r="G174" i="6"/>
  <c r="G172" i="6"/>
  <c r="G171" i="6"/>
  <c r="G170" i="6"/>
  <c r="G169" i="6"/>
  <c r="G168" i="6"/>
  <c r="G166" i="6"/>
  <c r="G165" i="6"/>
  <c r="G164" i="6"/>
  <c r="G163" i="6"/>
  <c r="G161" i="6"/>
  <c r="G160" i="6"/>
  <c r="G159" i="6"/>
  <c r="G158" i="6"/>
  <c r="G156" i="6"/>
  <c r="G155" i="6"/>
  <c r="G154" i="6"/>
  <c r="G119" i="6"/>
  <c r="G117" i="6"/>
  <c r="G115" i="6"/>
  <c r="G114" i="6"/>
  <c r="G105" i="6"/>
  <c r="G104" i="6"/>
  <c r="G103" i="6"/>
  <c r="G102" i="6"/>
  <c r="G101" i="6"/>
  <c r="G100" i="6"/>
  <c r="G99" i="6"/>
  <c r="G98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51" i="6"/>
  <c r="G50" i="6"/>
  <c r="G49" i="6"/>
  <c r="G47" i="6"/>
  <c r="G21" i="6"/>
  <c r="G20" i="6"/>
  <c r="G19" i="6"/>
  <c r="G18" i="6"/>
  <c r="G17" i="6"/>
  <c r="G16" i="6"/>
  <c r="G15" i="6"/>
  <c r="G13" i="6"/>
  <c r="G12" i="6"/>
  <c r="G11" i="6"/>
  <c r="G10" i="6"/>
  <c r="F181" i="6"/>
  <c r="F178" i="6"/>
  <c r="F177" i="6"/>
  <c r="F176" i="6"/>
  <c r="F175" i="6"/>
  <c r="F174" i="6"/>
  <c r="F172" i="6"/>
  <c r="F171" i="6"/>
  <c r="F170" i="6"/>
  <c r="F169" i="6"/>
  <c r="F166" i="6"/>
  <c r="F164" i="6"/>
  <c r="F163" i="6"/>
  <c r="F161" i="6"/>
  <c r="F160" i="6"/>
  <c r="F159" i="6"/>
  <c r="F158" i="6"/>
  <c r="F156" i="6"/>
  <c r="F155" i="6"/>
  <c r="F154" i="6"/>
  <c r="F119" i="6"/>
  <c r="F117" i="6" l="1"/>
  <c r="F115" i="6"/>
  <c r="F114" i="6"/>
  <c r="F105" i="6"/>
  <c r="F104" i="6"/>
  <c r="F103" i="6"/>
  <c r="F102" i="6" l="1"/>
  <c r="F101" i="6"/>
  <c r="F100" i="6"/>
  <c r="F99" i="6"/>
  <c r="F98" i="6"/>
  <c r="F94" i="6"/>
  <c r="F92" i="6"/>
  <c r="F90" i="6"/>
  <c r="F87" i="6"/>
  <c r="F86" i="6"/>
  <c r="F84" i="6"/>
  <c r="F83" i="6"/>
  <c r="F82" i="6"/>
  <c r="F81" i="6"/>
  <c r="F80" i="6"/>
  <c r="F78" i="6"/>
  <c r="F75" i="6"/>
  <c r="F74" i="6"/>
  <c r="F73" i="6"/>
  <c r="F71" i="6"/>
  <c r="F70" i="6"/>
  <c r="F51" i="6"/>
  <c r="F50" i="6"/>
  <c r="F49" i="6"/>
  <c r="F47" i="6"/>
  <c r="F21" i="6"/>
  <c r="F20" i="6"/>
  <c r="F19" i="6"/>
  <c r="F18" i="6"/>
  <c r="F16" i="6"/>
  <c r="F15" i="6"/>
  <c r="F13" i="6"/>
  <c r="F12" i="6"/>
  <c r="F11" i="6"/>
  <c r="F10" i="6"/>
  <c r="E181" i="6"/>
  <c r="E164" i="6"/>
  <c r="E160" i="6"/>
  <c r="E155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7" i="6"/>
  <c r="E86" i="6"/>
  <c r="E84" i="6"/>
  <c r="E79" i="6"/>
  <c r="E78" i="6"/>
  <c r="E74" i="6"/>
  <c r="E73" i="6"/>
  <c r="E51" i="6"/>
  <c r="E50" i="6"/>
  <c r="E21" i="6"/>
  <c r="E20" i="6"/>
  <c r="E16" i="6"/>
  <c r="E13" i="6"/>
  <c r="B26" i="7" l="1"/>
  <c r="B27" i="7"/>
  <c r="B28" i="7"/>
  <c r="B12" i="7"/>
  <c r="B8" i="7"/>
  <c r="D181" i="6"/>
  <c r="G173" i="6"/>
  <c r="F173" i="6"/>
  <c r="G167" i="6"/>
  <c r="D164" i="6"/>
  <c r="G162" i="6"/>
  <c r="D160" i="6"/>
  <c r="G157" i="6"/>
  <c r="F157" i="6"/>
  <c r="D155" i="6"/>
  <c r="G153" i="6"/>
  <c r="F153" i="6"/>
  <c r="D117" i="6"/>
  <c r="D115" i="6"/>
  <c r="F113" i="6"/>
  <c r="E113" i="6"/>
  <c r="D114" i="6"/>
  <c r="G113" i="6"/>
  <c r="D105" i="6"/>
  <c r="D104" i="6"/>
  <c r="D103" i="6"/>
  <c r="D102" i="6"/>
  <c r="D101" i="6"/>
  <c r="D100" i="6"/>
  <c r="F97" i="6"/>
  <c r="D99" i="6"/>
  <c r="D98" i="6"/>
  <c r="E97" i="6"/>
  <c r="D94" i="6"/>
  <c r="D93" i="6" s="1"/>
  <c r="G93" i="6"/>
  <c r="G91" i="6" s="1"/>
  <c r="F93" i="6"/>
  <c r="F91" i="6" s="1"/>
  <c r="E93" i="6"/>
  <c r="D90" i="6"/>
  <c r="G88" i="6"/>
  <c r="D87" i="6"/>
  <c r="D86" i="6"/>
  <c r="G85" i="6"/>
  <c r="F85" i="6"/>
  <c r="E85" i="6"/>
  <c r="D84" i="6"/>
  <c r="G77" i="6"/>
  <c r="D78" i="6"/>
  <c r="D74" i="6"/>
  <c r="G72" i="6"/>
  <c r="F72" i="6"/>
  <c r="E72" i="6"/>
  <c r="D73" i="6"/>
  <c r="G69" i="6"/>
  <c r="F69" i="6"/>
  <c r="D51" i="6"/>
  <c r="D50" i="6"/>
  <c r="G48" i="6"/>
  <c r="G46" i="6" s="1"/>
  <c r="F48" i="6"/>
  <c r="F46" i="6" s="1"/>
  <c r="D21" i="6"/>
  <c r="D20" i="6"/>
  <c r="G14" i="6"/>
  <c r="D16" i="6"/>
  <c r="D13" i="6"/>
  <c r="G9" i="6"/>
  <c r="F9" i="6"/>
  <c r="B16" i="7" l="1"/>
  <c r="B36" i="7"/>
  <c r="B21" i="7"/>
  <c r="G76" i="6"/>
  <c r="D72" i="6"/>
  <c r="D113" i="6"/>
  <c r="D85" i="6"/>
  <c r="G152" i="6"/>
  <c r="D97" i="6"/>
  <c r="G97" i="6"/>
  <c r="F68" i="6"/>
  <c r="G68" i="6"/>
  <c r="G8" i="6"/>
  <c r="T18" i="14" l="1"/>
  <c r="Q61" i="14" l="1"/>
  <c r="P53" i="14"/>
  <c r="N60" i="14" l="1"/>
  <c r="M60" i="14"/>
  <c r="N58" i="14"/>
  <c r="M58" i="14"/>
  <c r="M57" i="14"/>
  <c r="M54" i="14"/>
  <c r="J54" i="14"/>
  <c r="O52" i="14"/>
  <c r="N52" i="14" s="1"/>
  <c r="O51" i="14"/>
  <c r="N51" i="14" s="1"/>
  <c r="O46" i="14"/>
  <c r="N46" i="14" s="1"/>
  <c r="O45" i="14"/>
  <c r="O42" i="14"/>
  <c r="N42" i="14" s="1"/>
  <c r="O41" i="14"/>
  <c r="N41" i="14" s="1"/>
  <c r="O39" i="14"/>
  <c r="N39" i="14" s="1"/>
  <c r="O37" i="14"/>
  <c r="N37" i="14" s="1"/>
  <c r="O36" i="14"/>
  <c r="O35" i="14"/>
  <c r="N35" i="14" s="1"/>
  <c r="E59" i="14"/>
  <c r="O33" i="14"/>
  <c r="N33" i="14" s="1"/>
  <c r="O32" i="14"/>
  <c r="N32" i="14" s="1"/>
  <c r="O31" i="14"/>
  <c r="N31" i="14" s="1"/>
  <c r="O30" i="14"/>
  <c r="C28" i="14"/>
  <c r="J28" i="14" s="1"/>
  <c r="M28" i="14" s="1"/>
  <c r="N27" i="14"/>
  <c r="E25" i="14"/>
  <c r="M26" i="14"/>
  <c r="V25" i="14"/>
  <c r="T25" i="14"/>
  <c r="T56" i="14" s="1"/>
  <c r="S25" i="14"/>
  <c r="R25" i="14"/>
  <c r="P25" i="14"/>
  <c r="L25" i="14"/>
  <c r="G25" i="14"/>
  <c r="F25" i="14"/>
  <c r="C24" i="14"/>
  <c r="J24" i="14" s="1"/>
  <c r="M24" i="14" s="1"/>
  <c r="K23" i="14"/>
  <c r="O23" i="14" s="1"/>
  <c r="N23" i="14" s="1"/>
  <c r="C23" i="14"/>
  <c r="J23" i="14" s="1"/>
  <c r="M23" i="14" s="1"/>
  <c r="K22" i="14"/>
  <c r="O22" i="14" s="1"/>
  <c r="N22" i="14" s="1"/>
  <c r="K21" i="14"/>
  <c r="O21" i="14" s="1"/>
  <c r="N21" i="14" s="1"/>
  <c r="G18" i="14"/>
  <c r="C21" i="14"/>
  <c r="J21" i="14" s="1"/>
  <c r="M21" i="14" s="1"/>
  <c r="K20" i="14"/>
  <c r="O20" i="14" s="1"/>
  <c r="N20" i="14" s="1"/>
  <c r="C20" i="14"/>
  <c r="J20" i="14" s="1"/>
  <c r="M20" i="14" s="1"/>
  <c r="R18" i="14"/>
  <c r="E18" i="14"/>
  <c r="D18" i="14"/>
  <c r="V18" i="14"/>
  <c r="S18" i="14"/>
  <c r="P18" i="14"/>
  <c r="I18" i="14"/>
  <c r="H18" i="14"/>
  <c r="F18" i="14"/>
  <c r="N17" i="14"/>
  <c r="K17" i="14"/>
  <c r="J17" i="14"/>
  <c r="M17" i="14" s="1"/>
  <c r="O16" i="14"/>
  <c r="N16" i="14" s="1"/>
  <c r="J16" i="14"/>
  <c r="M16" i="14" s="1"/>
  <c r="O15" i="14"/>
  <c r="N15" i="14" s="1"/>
  <c r="J15" i="14"/>
  <c r="M15" i="14" s="1"/>
  <c r="O14" i="14"/>
  <c r="N14" i="14" s="1"/>
  <c r="J14" i="14"/>
  <c r="M14" i="14" s="1"/>
  <c r="O13" i="14"/>
  <c r="N13" i="14" s="1"/>
  <c r="J13" i="14"/>
  <c r="M13" i="14" s="1"/>
  <c r="J12" i="14"/>
  <c r="M12" i="14" s="1"/>
  <c r="O11" i="14"/>
  <c r="J11" i="14"/>
  <c r="M11" i="14" s="1"/>
  <c r="O10" i="14"/>
  <c r="V9" i="14"/>
  <c r="S9" i="14"/>
  <c r="R9" i="14"/>
  <c r="P9" i="14"/>
  <c r="I9" i="14"/>
  <c r="H9" i="14"/>
  <c r="G9" i="14"/>
  <c r="F9" i="14"/>
  <c r="J8" i="14"/>
  <c r="M8" i="14" s="1"/>
  <c r="N12" i="14" l="1"/>
  <c r="I55" i="14"/>
  <c r="N36" i="14"/>
  <c r="N45" i="14"/>
  <c r="R56" i="14"/>
  <c r="S56" i="14"/>
  <c r="O9" i="14"/>
  <c r="O7" i="14" s="1"/>
  <c r="N30" i="14"/>
  <c r="N11" i="14"/>
  <c r="T7" i="14"/>
  <c r="K25" i="14"/>
  <c r="O25" i="14"/>
  <c r="N26" i="14"/>
  <c r="N25" i="14" s="1"/>
  <c r="F56" i="14"/>
  <c r="F59" i="14" s="1"/>
  <c r="F7" i="14"/>
  <c r="V56" i="14"/>
  <c r="V59" i="14" s="1"/>
  <c r="V61" i="14" s="1"/>
  <c r="V7" i="14"/>
  <c r="S7" i="14"/>
  <c r="R7" i="14"/>
  <c r="I56" i="14"/>
  <c r="I59" i="14" s="1"/>
  <c r="H56" i="14"/>
  <c r="H59" i="14" s="1"/>
  <c r="G56" i="14"/>
  <c r="G59" i="14" s="1"/>
  <c r="G7" i="14"/>
  <c r="D56" i="14"/>
  <c r="D59" i="14" s="1"/>
  <c r="D7" i="14"/>
  <c r="C9" i="14"/>
  <c r="E7" i="14"/>
  <c r="K9" i="14"/>
  <c r="M10" i="14"/>
  <c r="K24" i="14"/>
  <c r="N24" i="14" s="1"/>
  <c r="G53" i="14"/>
  <c r="J53" i="14" s="1"/>
  <c r="L56" i="14"/>
  <c r="L59" i="14" s="1"/>
  <c r="H55" i="14"/>
  <c r="H7" i="14"/>
  <c r="C19" i="14"/>
  <c r="O34" i="14"/>
  <c r="N34" i="14" s="1"/>
  <c r="P57" i="14"/>
  <c r="N57" i="14" s="1"/>
  <c r="I7" i="14"/>
  <c r="C22" i="14"/>
  <c r="J22" i="14" s="1"/>
  <c r="M22" i="14" s="1"/>
  <c r="C54" i="14"/>
  <c r="O56" i="14" l="1"/>
  <c r="R59" i="14"/>
  <c r="R61" i="14" s="1"/>
  <c r="M55" i="14"/>
  <c r="N9" i="14"/>
  <c r="N29" i="14"/>
  <c r="O53" i="14"/>
  <c r="N53" i="14" s="1"/>
  <c r="M53" i="14"/>
  <c r="P59" i="14"/>
  <c r="C25" i="14"/>
  <c r="O55" i="14"/>
  <c r="M9" i="14"/>
  <c r="J9" i="14"/>
  <c r="K18" i="14"/>
  <c r="K56" i="14" s="1"/>
  <c r="K59" i="14" s="1"/>
  <c r="J19" i="14"/>
  <c r="M19" i="14" s="1"/>
  <c r="C18" i="14"/>
  <c r="K7" i="14" l="1"/>
  <c r="C7" i="14"/>
  <c r="N19" i="14"/>
  <c r="N18" i="14" s="1"/>
  <c r="O18" i="14"/>
  <c r="O59" i="14" s="1"/>
  <c r="O61" i="14" s="1"/>
  <c r="O62" i="14" s="1"/>
  <c r="N55" i="14"/>
  <c r="C56" i="14"/>
  <c r="J25" i="14"/>
  <c r="J7" i="14" s="1"/>
  <c r="M7" i="14" s="1"/>
  <c r="M27" i="14"/>
  <c r="M25" i="14" s="1"/>
  <c r="M18" i="14"/>
  <c r="J18" i="14"/>
  <c r="N7" i="14" l="1"/>
  <c r="M56" i="14"/>
  <c r="M59" i="14" s="1"/>
  <c r="J56" i="14"/>
  <c r="J59" i="14" s="1"/>
  <c r="N56" i="14"/>
  <c r="N59" i="14" s="1"/>
  <c r="O63" i="14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F182" i="6" l="1"/>
  <c r="E151" i="6" l="1"/>
  <c r="F151" i="6"/>
  <c r="G151" i="6"/>
  <c r="F150" i="6"/>
  <c r="G150" i="6"/>
  <c r="F149" i="6"/>
  <c r="G149" i="6"/>
  <c r="F148" i="6"/>
  <c r="G148" i="6"/>
  <c r="G147" i="6"/>
  <c r="F146" i="6"/>
  <c r="G146" i="6"/>
  <c r="E145" i="6"/>
  <c r="F145" i="6"/>
  <c r="G145" i="6"/>
  <c r="F144" i="6"/>
  <c r="F143" i="6"/>
  <c r="G143" i="6"/>
  <c r="G142" i="6"/>
  <c r="E139" i="6"/>
  <c r="F139" i="6"/>
  <c r="G139" i="6"/>
  <c r="E138" i="6"/>
  <c r="F138" i="6"/>
  <c r="G138" i="6"/>
  <c r="F137" i="6"/>
  <c r="G137" i="6"/>
  <c r="F135" i="6"/>
  <c r="G135" i="6"/>
  <c r="F134" i="6"/>
  <c r="G134" i="6"/>
  <c r="F132" i="6"/>
  <c r="G132" i="6"/>
  <c r="D145" i="6" l="1"/>
  <c r="D151" i="6"/>
  <c r="G144" i="6"/>
  <c r="G136" i="6"/>
  <c r="D138" i="6"/>
  <c r="D139" i="6"/>
  <c r="G141" i="6" l="1"/>
  <c r="G140" i="6" s="1"/>
  <c r="G133" i="6"/>
  <c r="G131" i="6" s="1"/>
  <c r="F130" i="6" l="1"/>
  <c r="G130" i="6"/>
  <c r="F129" i="6"/>
  <c r="G129" i="6"/>
  <c r="G128" i="6"/>
  <c r="F127" i="6"/>
  <c r="G127" i="6"/>
  <c r="F126" i="6"/>
  <c r="G126" i="6"/>
  <c r="F125" i="6"/>
  <c r="G125" i="6"/>
  <c r="F124" i="6"/>
  <c r="G124" i="6"/>
  <c r="F123" i="6"/>
  <c r="G123" i="6"/>
  <c r="F121" i="6"/>
  <c r="G121" i="6"/>
  <c r="G122" i="6" l="1"/>
  <c r="G120" i="6" s="1"/>
  <c r="E89" i="6" l="1"/>
  <c r="E80" i="6"/>
  <c r="E92" i="6" l="1"/>
  <c r="E88" i="6"/>
  <c r="D80" i="6"/>
  <c r="D92" i="6" l="1"/>
  <c r="D91" i="6" s="1"/>
  <c r="E91" i="6"/>
  <c r="F168" i="6" l="1"/>
  <c r="F167" i="6" l="1"/>
  <c r="E45" i="6" l="1"/>
  <c r="F45" i="6"/>
  <c r="G45" i="6"/>
  <c r="F44" i="6"/>
  <c r="G44" i="6"/>
  <c r="E43" i="6"/>
  <c r="F43" i="6"/>
  <c r="G43" i="6"/>
  <c r="F42" i="6"/>
  <c r="G42" i="6"/>
  <c r="F41" i="6"/>
  <c r="G41" i="6"/>
  <c r="F40" i="6"/>
  <c r="G40" i="6"/>
  <c r="E38" i="6"/>
  <c r="F38" i="6"/>
  <c r="G38" i="6"/>
  <c r="F37" i="6"/>
  <c r="G37" i="6"/>
  <c r="F35" i="6"/>
  <c r="G35" i="6"/>
  <c r="E34" i="6"/>
  <c r="F34" i="6"/>
  <c r="G33" i="6"/>
  <c r="E31" i="6"/>
  <c r="F31" i="6"/>
  <c r="G31" i="6"/>
  <c r="F30" i="6"/>
  <c r="G30" i="6"/>
  <c r="E29" i="6"/>
  <c r="G29" i="6"/>
  <c r="E28" i="6"/>
  <c r="F28" i="6"/>
  <c r="G28" i="6"/>
  <c r="E27" i="6"/>
  <c r="F27" i="6"/>
  <c r="G27" i="6"/>
  <c r="F26" i="6"/>
  <c r="G26" i="6"/>
  <c r="F25" i="6"/>
  <c r="G25" i="6"/>
  <c r="F24" i="6"/>
  <c r="G24" i="6"/>
  <c r="G23" i="6" l="1"/>
  <c r="D45" i="6"/>
  <c r="G39" i="6"/>
  <c r="G36" i="6" s="1"/>
  <c r="F39" i="6"/>
  <c r="F36" i="6" s="1"/>
  <c r="D43" i="6"/>
  <c r="D38" i="6"/>
  <c r="G34" i="6"/>
  <c r="D34" i="6" s="1"/>
  <c r="F29" i="6"/>
  <c r="D29" i="6" s="1"/>
  <c r="D27" i="6"/>
  <c r="D31" i="6"/>
  <c r="F33" i="6"/>
  <c r="F32" i="6" s="1"/>
  <c r="D28" i="6"/>
  <c r="F23" i="6" l="1"/>
  <c r="F22" i="6" s="1"/>
  <c r="G32" i="6"/>
  <c r="G22" i="6" s="1"/>
  <c r="E128" i="6" l="1"/>
  <c r="F128" i="6"/>
  <c r="F122" i="6" s="1"/>
  <c r="F120" i="6" s="1"/>
  <c r="E67" i="6"/>
  <c r="F67" i="6"/>
  <c r="G67" i="6"/>
  <c r="F66" i="6"/>
  <c r="E64" i="6"/>
  <c r="F64" i="6"/>
  <c r="G64" i="6"/>
  <c r="F62" i="6"/>
  <c r="G62" i="6"/>
  <c r="E61" i="6"/>
  <c r="G61" i="6"/>
  <c r="F59" i="6"/>
  <c r="G59" i="6"/>
  <c r="E58" i="6"/>
  <c r="F58" i="6"/>
  <c r="G58" i="6"/>
  <c r="F57" i="6"/>
  <c r="G57" i="6"/>
  <c r="F56" i="6"/>
  <c r="G56" i="6"/>
  <c r="F55" i="6"/>
  <c r="G55" i="6"/>
  <c r="G54" i="6"/>
  <c r="G53" i="6" l="1"/>
  <c r="D67" i="6"/>
  <c r="F65" i="6"/>
  <c r="D128" i="6"/>
  <c r="D64" i="6"/>
  <c r="G63" i="6"/>
  <c r="G60" i="6" s="1"/>
  <c r="F63" i="6"/>
  <c r="D58" i="6"/>
  <c r="G66" i="6"/>
  <c r="G65" i="6" s="1"/>
  <c r="G52" i="6" l="1"/>
  <c r="E70" i="6" l="1"/>
  <c r="F54" i="6"/>
  <c r="F53" i="6" s="1"/>
  <c r="E35" i="6"/>
  <c r="D35" i="6" s="1"/>
  <c r="E30" i="6"/>
  <c r="D30" i="6" s="1"/>
  <c r="E24" i="6"/>
  <c r="E19" i="6"/>
  <c r="D19" i="6" s="1"/>
  <c r="E17" i="6"/>
  <c r="D70" i="6" l="1"/>
  <c r="D24" i="6"/>
  <c r="E119" i="6" l="1"/>
  <c r="D119" i="6" s="1"/>
  <c r="G180" i="6" l="1"/>
  <c r="E144" i="6"/>
  <c r="D144" i="6" s="1"/>
  <c r="E96" i="6"/>
  <c r="F96" i="6"/>
  <c r="G96" i="6"/>
  <c r="E118" i="6"/>
  <c r="F118" i="6"/>
  <c r="G118" i="6"/>
  <c r="F116" i="6"/>
  <c r="G116" i="6"/>
  <c r="F112" i="6"/>
  <c r="G112" i="6"/>
  <c r="F111" i="6"/>
  <c r="G111" i="6"/>
  <c r="F110" i="6"/>
  <c r="G110" i="6"/>
  <c r="F109" i="6"/>
  <c r="G109" i="6"/>
  <c r="F108" i="6"/>
  <c r="G108" i="6"/>
  <c r="F107" i="6"/>
  <c r="G107" i="6"/>
  <c r="E83" i="6"/>
  <c r="D83" i="6" s="1"/>
  <c r="E66" i="6"/>
  <c r="F61" i="6"/>
  <c r="D118" i="6" l="1"/>
  <c r="G106" i="6"/>
  <c r="G95" i="6" s="1"/>
  <c r="F106" i="6"/>
  <c r="F95" i="6" s="1"/>
  <c r="D96" i="6"/>
  <c r="D66" i="6"/>
  <c r="D65" i="6" s="1"/>
  <c r="E65" i="6"/>
  <c r="D61" i="6"/>
  <c r="F60" i="6"/>
  <c r="F52" i="6" s="1"/>
  <c r="E172" i="6" l="1"/>
  <c r="D172" i="6" s="1"/>
  <c r="E33" i="6" l="1"/>
  <c r="E26" i="6"/>
  <c r="D26" i="6" s="1"/>
  <c r="E25" i="6"/>
  <c r="E18" i="6"/>
  <c r="D18" i="6" s="1"/>
  <c r="F17" i="6"/>
  <c r="E15" i="6"/>
  <c r="E12" i="6"/>
  <c r="D12" i="6" s="1"/>
  <c r="E11" i="6"/>
  <c r="D11" i="6" s="1"/>
  <c r="E10" i="6"/>
  <c r="D33" i="6" l="1"/>
  <c r="D32" i="6" s="1"/>
  <c r="E32" i="6"/>
  <c r="D25" i="6"/>
  <c r="D23" i="6" s="1"/>
  <c r="E23" i="6"/>
  <c r="F14" i="6"/>
  <c r="F8" i="6" s="1"/>
  <c r="D17" i="6"/>
  <c r="E14" i="6"/>
  <c r="D15" i="6"/>
  <c r="D10" i="6"/>
  <c r="D9" i="6" s="1"/>
  <c r="E9" i="6"/>
  <c r="D14" i="6" l="1"/>
  <c r="D8" i="6" s="1"/>
  <c r="E22" i="6"/>
  <c r="D22" i="6"/>
  <c r="E8" i="6"/>
  <c r="E54" i="6" l="1"/>
  <c r="E49" i="6"/>
  <c r="E47" i="6"/>
  <c r="E44" i="6"/>
  <c r="D44" i="6" s="1"/>
  <c r="E42" i="6"/>
  <c r="D42" i="6" s="1"/>
  <c r="E41" i="6"/>
  <c r="D41" i="6" s="1"/>
  <c r="E40" i="6"/>
  <c r="E37" i="6"/>
  <c r="D54" i="6" l="1"/>
  <c r="D49" i="6"/>
  <c r="D48" i="6" s="1"/>
  <c r="E48" i="6"/>
  <c r="E46" i="6" s="1"/>
  <c r="D47" i="6"/>
  <c r="D40" i="6"/>
  <c r="D39" i="6" s="1"/>
  <c r="E39" i="6"/>
  <c r="E36" i="6" s="1"/>
  <c r="D37" i="6"/>
  <c r="D46" i="6" l="1"/>
  <c r="D36" i="6"/>
  <c r="F89" i="6" l="1"/>
  <c r="E82" i="6"/>
  <c r="D82" i="6" s="1"/>
  <c r="E81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F88" i="6" l="1"/>
  <c r="D89" i="6"/>
  <c r="D88" i="6" s="1"/>
  <c r="D81" i="6"/>
  <c r="E77" i="6"/>
  <c r="E76" i="6" s="1"/>
  <c r="F77" i="6"/>
  <c r="D79" i="6"/>
  <c r="E69" i="6"/>
  <c r="E68" i="6" s="1"/>
  <c r="D71" i="6"/>
  <c r="D69" i="6" s="1"/>
  <c r="D68" i="6" s="1"/>
  <c r="D62" i="6"/>
  <c r="D60" i="6" s="1"/>
  <c r="E60" i="6"/>
  <c r="D55" i="6"/>
  <c r="D53" i="6" s="1"/>
  <c r="E53" i="6"/>
  <c r="D77" i="6" l="1"/>
  <c r="D76" i="6" s="1"/>
  <c r="F76" i="6"/>
  <c r="E52" i="6"/>
  <c r="D52" i="6"/>
  <c r="E146" i="6" l="1"/>
  <c r="D146" i="6" s="1"/>
  <c r="F136" i="6"/>
  <c r="E126" i="6"/>
  <c r="D126" i="6" s="1"/>
  <c r="E125" i="6"/>
  <c r="D125" i="6" s="1"/>
  <c r="E124" i="6"/>
  <c r="D124" i="6" s="1"/>
  <c r="E123" i="6"/>
  <c r="E121" i="6"/>
  <c r="F133" i="6" l="1"/>
  <c r="F131" i="6" s="1"/>
  <c r="D123" i="6"/>
  <c r="D121" i="6"/>
  <c r="E165" i="6" l="1"/>
  <c r="E136" i="6" l="1"/>
  <c r="D136" i="6" s="1"/>
  <c r="E182" i="6" l="1"/>
  <c r="E180" i="6"/>
  <c r="F180" i="6"/>
  <c r="F179" i="6" s="1"/>
  <c r="G178" i="6"/>
  <c r="E177" i="6"/>
  <c r="D177" i="6" s="1"/>
  <c r="E176" i="6"/>
  <c r="D176" i="6" s="1"/>
  <c r="E175" i="6"/>
  <c r="D175" i="6" s="1"/>
  <c r="E174" i="6"/>
  <c r="E171" i="6"/>
  <c r="D171" i="6" s="1"/>
  <c r="E170" i="6"/>
  <c r="D170" i="6" s="1"/>
  <c r="E169" i="6"/>
  <c r="D169" i="6" s="1"/>
  <c r="E168" i="6"/>
  <c r="E166" i="6"/>
  <c r="D166" i="6" s="1"/>
  <c r="F165" i="6"/>
  <c r="E163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8" i="6"/>
  <c r="D148" i="6" s="1"/>
  <c r="E147" i="6"/>
  <c r="F147" i="6"/>
  <c r="E143" i="6"/>
  <c r="D143" i="6" s="1"/>
  <c r="E142" i="6"/>
  <c r="F142" i="6"/>
  <c r="F141" i="6" s="1"/>
  <c r="E137" i="6"/>
  <c r="D137" i="6" s="1"/>
  <c r="E135" i="6"/>
  <c r="D135" i="6" s="1"/>
  <c r="E134" i="6"/>
  <c r="E132" i="6"/>
  <c r="E130" i="6"/>
  <c r="D130" i="6" s="1"/>
  <c r="E129" i="6"/>
  <c r="D129" i="6" s="1"/>
  <c r="E127" i="6"/>
  <c r="E116" i="6"/>
  <c r="D116" i="6" s="1"/>
  <c r="E112" i="6"/>
  <c r="D112" i="6" s="1"/>
  <c r="E111" i="6"/>
  <c r="D111" i="6" s="1"/>
  <c r="E110" i="6"/>
  <c r="E109" i="6"/>
  <c r="D109" i="6" s="1"/>
  <c r="E108" i="6"/>
  <c r="D108" i="6" s="1"/>
  <c r="E107" i="6"/>
  <c r="D107" i="6" s="1"/>
  <c r="D110" i="6" l="1"/>
  <c r="D106" i="6" s="1"/>
  <c r="D95" i="6" s="1"/>
  <c r="E106" i="6"/>
  <c r="E95" i="6" s="1"/>
  <c r="G182" i="6"/>
  <c r="G179" i="6" s="1"/>
  <c r="G6" i="6" s="1"/>
  <c r="B13" i="7" s="1"/>
  <c r="D180" i="6"/>
  <c r="E179" i="6"/>
  <c r="E178" i="6"/>
  <c r="D178" i="6" s="1"/>
  <c r="D174" i="6"/>
  <c r="D173" i="6" s="1"/>
  <c r="E173" i="6"/>
  <c r="E167" i="6"/>
  <c r="D168" i="6"/>
  <c r="D167" i="6" s="1"/>
  <c r="F162" i="6"/>
  <c r="F152" i="6" s="1"/>
  <c r="D165" i="6"/>
  <c r="D163" i="6"/>
  <c r="E162" i="6"/>
  <c r="D158" i="6"/>
  <c r="D157" i="6" s="1"/>
  <c r="E157" i="6"/>
  <c r="D154" i="6"/>
  <c r="D153" i="6" s="1"/>
  <c r="E153" i="6"/>
  <c r="D147" i="6"/>
  <c r="F140" i="6"/>
  <c r="E141" i="6"/>
  <c r="E140" i="6" s="1"/>
  <c r="D142" i="6"/>
  <c r="D141" i="6" s="1"/>
  <c r="E133" i="6"/>
  <c r="E131" i="6" s="1"/>
  <c r="D134" i="6"/>
  <c r="D133" i="6" s="1"/>
  <c r="D132" i="6"/>
  <c r="D127" i="6"/>
  <c r="D122" i="6" s="1"/>
  <c r="D120" i="6" s="1"/>
  <c r="E122" i="6"/>
  <c r="E120" i="6" s="1"/>
  <c r="D140" i="6" l="1"/>
  <c r="F6" i="6"/>
  <c r="B9" i="7" s="1"/>
  <c r="B32" i="7" s="1"/>
  <c r="D182" i="6"/>
  <c r="D179" i="6" s="1"/>
  <c r="B14" i="7"/>
  <c r="B33" i="7"/>
  <c r="D162" i="6"/>
  <c r="D152" i="6" s="1"/>
  <c r="E152" i="6"/>
  <c r="E6" i="6" s="1"/>
  <c r="B5" i="7" s="1"/>
  <c r="D131" i="6"/>
  <c r="B10" i="7" l="1"/>
  <c r="B22" i="7"/>
  <c r="B23" i="7" s="1"/>
  <c r="B31" i="7"/>
  <c r="B37" i="7" s="1"/>
  <c r="B38" i="7" s="1"/>
  <c r="D6" i="6"/>
  <c r="B6" i="7"/>
  <c r="B17" i="7"/>
  <c r="B18" i="7" s="1"/>
  <c r="K151" i="6" l="1"/>
  <c r="J151" i="6"/>
  <c r="I151" i="6"/>
  <c r="K150" i="6"/>
  <c r="J150" i="6"/>
  <c r="K149" i="6"/>
  <c r="J149" i="6"/>
  <c r="K148" i="6"/>
  <c r="J148" i="6"/>
  <c r="I148" i="6"/>
  <c r="K147" i="6"/>
  <c r="J147" i="6"/>
  <c r="K146" i="6"/>
  <c r="J146" i="6"/>
  <c r="I146" i="6"/>
  <c r="K145" i="6"/>
  <c r="J145" i="6"/>
  <c r="I145" i="6"/>
  <c r="K144" i="6"/>
  <c r="J144" i="6"/>
  <c r="I144" i="6"/>
  <c r="K143" i="6"/>
  <c r="J143" i="6"/>
  <c r="K142" i="6"/>
  <c r="J142" i="6"/>
  <c r="K130" i="6"/>
  <c r="J130" i="6"/>
  <c r="I130" i="6"/>
  <c r="K129" i="6"/>
  <c r="J129" i="6"/>
  <c r="K128" i="6"/>
  <c r="I128" i="6"/>
  <c r="K127" i="6"/>
  <c r="J127" i="6"/>
  <c r="K126" i="6"/>
  <c r="J126" i="6"/>
  <c r="K125" i="6"/>
  <c r="J125" i="6"/>
  <c r="K124" i="6"/>
  <c r="J124" i="6"/>
  <c r="K123" i="6"/>
  <c r="J123" i="6"/>
  <c r="K121" i="6"/>
  <c r="J121" i="6"/>
  <c r="I121" i="6"/>
  <c r="I118" i="6"/>
  <c r="H118" i="6" s="1"/>
  <c r="J87" i="6"/>
  <c r="I80" i="6"/>
  <c r="H130" i="6" l="1"/>
  <c r="H151" i="6"/>
  <c r="K141" i="6"/>
  <c r="K140" i="6" s="1"/>
  <c r="H121" i="6"/>
  <c r="H145" i="6"/>
  <c r="H144" i="6"/>
  <c r="H148" i="6"/>
  <c r="J141" i="6"/>
  <c r="J140" i="6" s="1"/>
  <c r="H146" i="6"/>
  <c r="K122" i="6"/>
  <c r="K120" i="6" s="1"/>
  <c r="J85" i="6"/>
  <c r="J89" i="6"/>
  <c r="H80" i="6"/>
  <c r="H89" i="6" l="1"/>
  <c r="H88" i="6" s="1"/>
  <c r="J88" i="6"/>
  <c r="J61" i="6" l="1"/>
  <c r="J60" i="6" s="1"/>
  <c r="I61" i="6"/>
  <c r="I40" i="6"/>
  <c r="I38" i="6"/>
  <c r="J18" i="6"/>
  <c r="J11" i="6"/>
  <c r="J9" i="6" s="1"/>
  <c r="I66" i="6" l="1"/>
  <c r="H61" i="6"/>
  <c r="H40" i="6"/>
  <c r="H38" i="6"/>
  <c r="I65" i="6" l="1"/>
  <c r="H66" i="6"/>
  <c r="H65" i="6" s="1"/>
  <c r="I87" i="6" l="1"/>
  <c r="I83" i="6"/>
  <c r="H83" i="6" s="1"/>
  <c r="I81" i="6"/>
  <c r="I85" i="6" l="1"/>
  <c r="H87" i="6"/>
  <c r="H85" i="6" s="1"/>
  <c r="H81" i="6"/>
  <c r="I143" i="6" l="1"/>
  <c r="H143" i="6" s="1"/>
  <c r="I135" i="6" l="1"/>
  <c r="H135" i="6" s="1"/>
  <c r="I96" i="6"/>
  <c r="J55" i="6"/>
  <c r="J54" i="6"/>
  <c r="H96" i="6" l="1"/>
  <c r="J53" i="6"/>
  <c r="J52" i="6" s="1"/>
  <c r="J111" i="6" l="1"/>
  <c r="J136" i="6" l="1"/>
  <c r="I132" i="6"/>
  <c r="J133" i="6" l="1"/>
  <c r="J131" i="6" s="1"/>
  <c r="H132" i="6"/>
  <c r="J180" i="6" l="1"/>
  <c r="I175" i="6"/>
  <c r="H175" i="6" s="1"/>
  <c r="J107" i="6"/>
  <c r="J106" i="6" s="1"/>
  <c r="J95" i="6" s="1"/>
  <c r="J179" i="6" l="1"/>
  <c r="I37" i="6" l="1"/>
  <c r="H37" i="6" l="1"/>
  <c r="I139" i="6" l="1"/>
  <c r="H139" i="6" s="1"/>
  <c r="I137" i="6"/>
  <c r="H137" i="6" s="1"/>
  <c r="I136" i="6"/>
  <c r="H136" i="6" s="1"/>
  <c r="I129" i="6"/>
  <c r="H129" i="6" s="1"/>
  <c r="J128" i="6"/>
  <c r="I127" i="6"/>
  <c r="H127" i="6" s="1"/>
  <c r="I126" i="6"/>
  <c r="H126" i="6" s="1"/>
  <c r="I125" i="6"/>
  <c r="H125" i="6" s="1"/>
  <c r="I124" i="6"/>
  <c r="H124" i="6" s="1"/>
  <c r="I123" i="6"/>
  <c r="I92" i="6"/>
  <c r="I82" i="6"/>
  <c r="J79" i="6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H55" i="6" s="1"/>
  <c r="I54" i="6"/>
  <c r="K50" i="6"/>
  <c r="J50" i="6"/>
  <c r="I50" i="6"/>
  <c r="I49" i="6"/>
  <c r="K49" i="6"/>
  <c r="J49" i="6"/>
  <c r="K47" i="6"/>
  <c r="J47" i="6"/>
  <c r="I47" i="6"/>
  <c r="I44" i="6"/>
  <c r="H44" i="6" s="1"/>
  <c r="J43" i="6"/>
  <c r="H43" i="6" s="1"/>
  <c r="J42" i="6"/>
  <c r="I42" i="6"/>
  <c r="I41" i="6"/>
  <c r="I35" i="6"/>
  <c r="H35" i="6" s="1"/>
  <c r="I34" i="6"/>
  <c r="H34" i="6" s="1"/>
  <c r="I33" i="6"/>
  <c r="I31" i="6"/>
  <c r="H31" i="6" s="1"/>
  <c r="I26" i="6"/>
  <c r="H26" i="6" s="1"/>
  <c r="I25" i="6"/>
  <c r="H25" i="6" s="1"/>
  <c r="I24" i="6"/>
  <c r="I19" i="6"/>
  <c r="H19" i="6" s="1"/>
  <c r="I18" i="6"/>
  <c r="H18" i="6" s="1"/>
  <c r="J17" i="6"/>
  <c r="J14" i="6" s="1"/>
  <c r="J8" i="6" s="1"/>
  <c r="I17" i="6"/>
  <c r="I15" i="6"/>
  <c r="I12" i="6"/>
  <c r="H12" i="6" s="1"/>
  <c r="I11" i="6"/>
  <c r="H11" i="6" s="1"/>
  <c r="I10" i="6"/>
  <c r="K48" i="6" l="1"/>
  <c r="K46" i="6" s="1"/>
  <c r="J122" i="6"/>
  <c r="J120" i="6" s="1"/>
  <c r="H128" i="6"/>
  <c r="I122" i="6"/>
  <c r="I120" i="6" s="1"/>
  <c r="H123" i="6"/>
  <c r="H92" i="6"/>
  <c r="H91" i="6" s="1"/>
  <c r="I91" i="6"/>
  <c r="H82" i="6"/>
  <c r="I77" i="6"/>
  <c r="I76" i="6" s="1"/>
  <c r="J77" i="6"/>
  <c r="J76" i="6" s="1"/>
  <c r="H79" i="6"/>
  <c r="I69" i="6"/>
  <c r="I68" i="6" s="1"/>
  <c r="H71" i="6"/>
  <c r="H69" i="6" s="1"/>
  <c r="H68" i="6" s="1"/>
  <c r="I60" i="6"/>
  <c r="H62" i="6"/>
  <c r="H60" i="6" s="1"/>
  <c r="H54" i="6"/>
  <c r="H53" i="6" s="1"/>
  <c r="I53" i="6"/>
  <c r="H50" i="6"/>
  <c r="J48" i="6"/>
  <c r="J46" i="6" s="1"/>
  <c r="I48" i="6"/>
  <c r="I46" i="6" s="1"/>
  <c r="H49" i="6"/>
  <c r="H47" i="6"/>
  <c r="J39" i="6"/>
  <c r="J36" i="6" s="1"/>
  <c r="H42" i="6"/>
  <c r="H41" i="6"/>
  <c r="I39" i="6"/>
  <c r="I36" i="6" s="1"/>
  <c r="I32" i="6"/>
  <c r="H33" i="6"/>
  <c r="H32" i="6" s="1"/>
  <c r="H24" i="6"/>
  <c r="H23" i="6" s="1"/>
  <c r="I23" i="6"/>
  <c r="H17" i="6"/>
  <c r="H15" i="6"/>
  <c r="I14" i="6"/>
  <c r="H10" i="6"/>
  <c r="H9" i="6" s="1"/>
  <c r="I9" i="6"/>
  <c r="H52" i="6" l="1"/>
  <c r="H122" i="6"/>
  <c r="H120" i="6" s="1"/>
  <c r="H77" i="6"/>
  <c r="H76" i="6" s="1"/>
  <c r="I52" i="6"/>
  <c r="H14" i="6"/>
  <c r="H8" i="6" s="1"/>
  <c r="J6" i="6"/>
  <c r="C9" i="7" s="1"/>
  <c r="C32" i="7" s="1"/>
  <c r="I22" i="6"/>
  <c r="H48" i="6"/>
  <c r="H46" i="6" s="1"/>
  <c r="H22" i="6"/>
  <c r="H39" i="6"/>
  <c r="H36" i="6" s="1"/>
  <c r="I8" i="6"/>
  <c r="C10" i="7" l="1"/>
  <c r="I178" i="6"/>
  <c r="K182" i="6" l="1"/>
  <c r="K179" i="6" s="1"/>
  <c r="I182" i="6"/>
  <c r="I180" i="6"/>
  <c r="K178" i="6"/>
  <c r="I177" i="6"/>
  <c r="H177" i="6" s="1"/>
  <c r="I176" i="6"/>
  <c r="H176" i="6" s="1"/>
  <c r="I174" i="6"/>
  <c r="I172" i="6"/>
  <c r="H172" i="6" s="1"/>
  <c r="I171" i="6"/>
  <c r="H171" i="6" s="1"/>
  <c r="I170" i="6"/>
  <c r="H170" i="6" s="1"/>
  <c r="I169" i="6"/>
  <c r="H169" i="6" s="1"/>
  <c r="I168" i="6"/>
  <c r="I166" i="6"/>
  <c r="H166" i="6" s="1"/>
  <c r="I165" i="6"/>
  <c r="H165" i="6" s="1"/>
  <c r="I163" i="6"/>
  <c r="I161" i="6"/>
  <c r="H161" i="6" s="1"/>
  <c r="I159" i="6"/>
  <c r="H159" i="6" s="1"/>
  <c r="I158" i="6"/>
  <c r="I156" i="6"/>
  <c r="H156" i="6" s="1"/>
  <c r="I154" i="6"/>
  <c r="I150" i="6"/>
  <c r="H150" i="6" s="1"/>
  <c r="I149" i="6"/>
  <c r="H149" i="6" s="1"/>
  <c r="I147" i="6"/>
  <c r="H147" i="6" s="1"/>
  <c r="I142" i="6"/>
  <c r="I134" i="6"/>
  <c r="I116" i="6"/>
  <c r="H116" i="6" s="1"/>
  <c r="I112" i="6"/>
  <c r="H112" i="6" s="1"/>
  <c r="I111" i="6"/>
  <c r="H111" i="6" s="1"/>
  <c r="I110" i="6"/>
  <c r="H110" i="6" s="1"/>
  <c r="I109" i="6"/>
  <c r="H109" i="6" s="1"/>
  <c r="I108" i="6"/>
  <c r="I107" i="6"/>
  <c r="H107" i="6" s="1"/>
  <c r="I133" i="6" l="1"/>
  <c r="I131" i="6" s="1"/>
  <c r="H134" i="6"/>
  <c r="H133" i="6" s="1"/>
  <c r="H131" i="6" s="1"/>
  <c r="H108" i="6"/>
  <c r="H106" i="6" s="1"/>
  <c r="H95" i="6" s="1"/>
  <c r="I106" i="6"/>
  <c r="I95" i="6" s="1"/>
  <c r="H182" i="6"/>
  <c r="I179" i="6"/>
  <c r="H180" i="6"/>
  <c r="K6" i="6"/>
  <c r="C13" i="7" s="1"/>
  <c r="H178" i="6"/>
  <c r="I173" i="6"/>
  <c r="H174" i="6"/>
  <c r="H173" i="6" s="1"/>
  <c r="I167" i="6"/>
  <c r="H168" i="6"/>
  <c r="H167" i="6" s="1"/>
  <c r="H163" i="6"/>
  <c r="H162" i="6" s="1"/>
  <c r="I162" i="6"/>
  <c r="H158" i="6"/>
  <c r="H157" i="6" s="1"/>
  <c r="I157" i="6"/>
  <c r="H154" i="6"/>
  <c r="H153" i="6" s="1"/>
  <c r="I153" i="6"/>
  <c r="I141" i="6"/>
  <c r="I140" i="6" s="1"/>
  <c r="H142" i="6"/>
  <c r="H141" i="6" s="1"/>
  <c r="H140" i="6" s="1"/>
  <c r="H179" i="6" l="1"/>
  <c r="C33" i="7"/>
  <c r="C14" i="7"/>
  <c r="H152" i="6"/>
  <c r="I152" i="6"/>
  <c r="H6" i="6" l="1"/>
  <c r="I6" i="6"/>
  <c r="C5" i="7" l="1"/>
  <c r="C17" i="7" l="1"/>
  <c r="C31" i="7"/>
  <c r="C6" i="7"/>
  <c r="C22" i="7"/>
  <c r="C37" i="7" l="1"/>
  <c r="C18" i="7"/>
  <c r="C23" i="7"/>
  <c r="C38" i="7" l="1"/>
  <c r="Q34" i="6"/>
  <c r="Q17" i="6"/>
  <c r="P34" i="6" l="1"/>
  <c r="P32" i="6" s="1"/>
  <c r="Q32" i="6"/>
  <c r="R135" i="6" l="1"/>
  <c r="M118" i="6" l="1"/>
  <c r="N118" i="6"/>
  <c r="M116" i="6"/>
  <c r="N104" i="6"/>
  <c r="L104" i="6" s="1"/>
  <c r="R104" i="6"/>
  <c r="N98" i="6"/>
  <c r="R98" i="6"/>
  <c r="L116" i="6" l="1"/>
  <c r="L98" i="6"/>
  <c r="L97" i="6" s="1"/>
  <c r="N97" i="6"/>
  <c r="N95" i="6" s="1"/>
  <c r="L118" i="6"/>
  <c r="N43" i="6" l="1"/>
  <c r="Q20" i="6"/>
  <c r="P20" i="6" s="1"/>
  <c r="R43" i="6" l="1"/>
  <c r="N39" i="6"/>
  <c r="N36" i="6" s="1"/>
  <c r="R39" i="6" l="1"/>
  <c r="R36" i="6" s="1"/>
  <c r="M126" i="6" l="1"/>
  <c r="L126" i="6" s="1"/>
  <c r="M125" i="6"/>
  <c r="L125" i="6" s="1"/>
  <c r="Q118" i="6"/>
  <c r="P118" i="6" s="1"/>
  <c r="M75" i="6"/>
  <c r="L75" i="6" s="1"/>
  <c r="M71" i="6"/>
  <c r="L71" i="6" s="1"/>
  <c r="M90" i="6" l="1"/>
  <c r="Q90" i="6"/>
  <c r="P90" i="6" s="1"/>
  <c r="M89" i="6"/>
  <c r="N89" i="6"/>
  <c r="N88" i="6" s="1"/>
  <c r="N76" i="6" s="1"/>
  <c r="Q80" i="6"/>
  <c r="M43" i="6"/>
  <c r="L43" i="6" s="1"/>
  <c r="L89" i="6" l="1"/>
  <c r="L90" i="6"/>
  <c r="M88" i="6"/>
  <c r="M76" i="6" s="1"/>
  <c r="P80" i="6"/>
  <c r="L88" i="6" l="1"/>
  <c r="L76" i="6" s="1"/>
  <c r="Q31" i="6" l="1"/>
  <c r="P31" i="6" s="1"/>
  <c r="R17" i="6"/>
  <c r="Q16" i="6"/>
  <c r="R14" i="6" l="1"/>
  <c r="P17" i="6"/>
  <c r="P16" i="6"/>
  <c r="R182" i="6" l="1"/>
  <c r="M137" i="6"/>
  <c r="L137" i="6" s="1"/>
  <c r="M135" i="6"/>
  <c r="M132" i="6"/>
  <c r="M121" i="6"/>
  <c r="M96" i="6"/>
  <c r="Q87" i="6"/>
  <c r="N180" i="6" l="1"/>
  <c r="M174" i="6"/>
  <c r="L135" i="6"/>
  <c r="L132" i="6"/>
  <c r="L121" i="6"/>
  <c r="L96" i="6"/>
  <c r="L95" i="6" s="1"/>
  <c r="M95" i="6"/>
  <c r="Q85" i="6"/>
  <c r="N179" i="6" l="1"/>
  <c r="M173" i="6"/>
  <c r="M152" i="6" s="1"/>
  <c r="L174" i="6"/>
  <c r="L173" i="6" s="1"/>
  <c r="L152" i="6" s="1"/>
  <c r="O180" i="6" l="1"/>
  <c r="M151" i="6"/>
  <c r="N151" i="6"/>
  <c r="O151" i="6"/>
  <c r="Q151" i="6"/>
  <c r="R151" i="6"/>
  <c r="S151" i="6"/>
  <c r="N150" i="6"/>
  <c r="O150" i="6"/>
  <c r="R150" i="6"/>
  <c r="S150" i="6"/>
  <c r="M149" i="6"/>
  <c r="N149" i="6"/>
  <c r="O149" i="6"/>
  <c r="R149" i="6"/>
  <c r="S149" i="6"/>
  <c r="M148" i="6"/>
  <c r="N148" i="6"/>
  <c r="O148" i="6"/>
  <c r="R148" i="6"/>
  <c r="S148" i="6"/>
  <c r="N147" i="6"/>
  <c r="O147" i="6"/>
  <c r="R147" i="6"/>
  <c r="S147" i="6"/>
  <c r="M146" i="6"/>
  <c r="N146" i="6"/>
  <c r="O146" i="6"/>
  <c r="Q146" i="6"/>
  <c r="R146" i="6"/>
  <c r="S146" i="6"/>
  <c r="N145" i="6"/>
  <c r="O145" i="6"/>
  <c r="R145" i="6"/>
  <c r="S145" i="6"/>
  <c r="M144" i="6"/>
  <c r="N144" i="6"/>
  <c r="O144" i="6"/>
  <c r="R144" i="6"/>
  <c r="S144" i="6"/>
  <c r="M143" i="6"/>
  <c r="N143" i="6"/>
  <c r="O143" i="6"/>
  <c r="Q143" i="6"/>
  <c r="R143" i="6"/>
  <c r="S143" i="6"/>
  <c r="O142" i="6"/>
  <c r="R142" i="6"/>
  <c r="S142" i="6"/>
  <c r="P143" i="6" l="1"/>
  <c r="L151" i="6"/>
  <c r="L149" i="6"/>
  <c r="L143" i="6"/>
  <c r="R141" i="6"/>
  <c r="R140" i="6" s="1"/>
  <c r="O141" i="6"/>
  <c r="O140" i="6" s="1"/>
  <c r="O179" i="6"/>
  <c r="N142" i="6"/>
  <c r="N141" i="6" s="1"/>
  <c r="N140" i="6" s="1"/>
  <c r="L144" i="6"/>
  <c r="L146" i="6"/>
  <c r="L148" i="6"/>
  <c r="P151" i="6"/>
  <c r="P146" i="6"/>
  <c r="S141" i="6"/>
  <c r="S140" i="6" s="1"/>
  <c r="O6" i="6" l="1"/>
  <c r="D13" i="7" s="1"/>
  <c r="N6" i="6"/>
  <c r="D9" i="7" s="1"/>
  <c r="D14" i="7" l="1"/>
  <c r="D32" i="7"/>
  <c r="D33" i="7"/>
  <c r="D10" i="7"/>
  <c r="S137" i="6" l="1"/>
  <c r="Q43" i="6"/>
  <c r="P43" i="6" s="1"/>
  <c r="Q15" i="6"/>
  <c r="S133" i="6" l="1"/>
  <c r="S131" i="6" s="1"/>
  <c r="P15" i="6"/>
  <c r="P14" i="6" s="1"/>
  <c r="Q14" i="6"/>
  <c r="Q130" i="6" l="1"/>
  <c r="P130" i="6" s="1"/>
  <c r="M124" i="6"/>
  <c r="L124" i="6" s="1"/>
  <c r="M123" i="6"/>
  <c r="R102" i="6"/>
  <c r="Q92" i="6"/>
  <c r="Q66" i="6"/>
  <c r="M59" i="6"/>
  <c r="L59" i="6" s="1"/>
  <c r="M55" i="6"/>
  <c r="L55" i="6" s="1"/>
  <c r="M54" i="6"/>
  <c r="M42" i="6"/>
  <c r="Q35" i="6"/>
  <c r="P35" i="6" s="1"/>
  <c r="Q26" i="6"/>
  <c r="Q18" i="6"/>
  <c r="R18" i="6"/>
  <c r="M16" i="6"/>
  <c r="Q12" i="6"/>
  <c r="P12" i="6" s="1"/>
  <c r="Q11" i="6"/>
  <c r="R11" i="6"/>
  <c r="R9" i="6" s="1"/>
  <c r="Q10" i="6"/>
  <c r="M122" i="6" l="1"/>
  <c r="M120" i="6" s="1"/>
  <c r="L123" i="6"/>
  <c r="L122" i="6" s="1"/>
  <c r="L120" i="6" s="1"/>
  <c r="Q91" i="6"/>
  <c r="P92" i="6"/>
  <c r="P91" i="6" s="1"/>
  <c r="P66" i="6"/>
  <c r="P65" i="6" s="1"/>
  <c r="Q65" i="6"/>
  <c r="M53" i="6"/>
  <c r="M52" i="6" s="1"/>
  <c r="L54" i="6"/>
  <c r="L53" i="6" s="1"/>
  <c r="L52" i="6" s="1"/>
  <c r="M39" i="6"/>
  <c r="M36" i="6" s="1"/>
  <c r="L42" i="6"/>
  <c r="L39" i="6" s="1"/>
  <c r="L36" i="6" s="1"/>
  <c r="Q23" i="6"/>
  <c r="Q22" i="6" s="1"/>
  <c r="P26" i="6"/>
  <c r="P23" i="6" s="1"/>
  <c r="P22" i="6" s="1"/>
  <c r="M14" i="6"/>
  <c r="L16" i="6"/>
  <c r="L14" i="6" s="1"/>
  <c r="R8" i="6"/>
  <c r="P18" i="6"/>
  <c r="P11" i="6"/>
  <c r="Q9" i="6"/>
  <c r="Q8" i="6" s="1"/>
  <c r="P10" i="6"/>
  <c r="R97" i="6"/>
  <c r="P9" i="6" l="1"/>
  <c r="P8" i="6" s="1"/>
  <c r="M150" i="6" l="1"/>
  <c r="L150" i="6" s="1"/>
  <c r="Q177" i="6" l="1"/>
  <c r="P177" i="6" s="1"/>
  <c r="Q176" i="6"/>
  <c r="P176" i="6" s="1"/>
  <c r="Q175" i="6"/>
  <c r="P175" i="6" s="1"/>
  <c r="Q154" i="6"/>
  <c r="M147" i="6"/>
  <c r="L147" i="6" s="1"/>
  <c r="M145" i="6"/>
  <c r="L145" i="6" s="1"/>
  <c r="Q145" i="6"/>
  <c r="P145" i="6" s="1"/>
  <c r="M142" i="6"/>
  <c r="M136" i="6"/>
  <c r="R109" i="6"/>
  <c r="M70" i="6"/>
  <c r="L70" i="6" l="1"/>
  <c r="L69" i="6" s="1"/>
  <c r="L68" i="6" s="1"/>
  <c r="M69" i="6"/>
  <c r="M68" i="6" s="1"/>
  <c r="P154" i="6"/>
  <c r="M141" i="6"/>
  <c r="M140" i="6" s="1"/>
  <c r="L142" i="6"/>
  <c r="L141" i="6" s="1"/>
  <c r="L140" i="6" s="1"/>
  <c r="L136" i="6"/>
  <c r="L133" i="6" s="1"/>
  <c r="L131" i="6" s="1"/>
  <c r="M133" i="6"/>
  <c r="M131" i="6" s="1"/>
  <c r="M180" i="6" l="1"/>
  <c r="M179" i="6" l="1"/>
  <c r="L180" i="6"/>
  <c r="L179" i="6" s="1"/>
  <c r="Q121" i="6" l="1"/>
  <c r="R107" i="6"/>
  <c r="R89" i="6"/>
  <c r="R88" i="6" s="1"/>
  <c r="Q75" i="6"/>
  <c r="P75" i="6" s="1"/>
  <c r="Q71" i="6"/>
  <c r="Q63" i="6"/>
  <c r="P63" i="6" s="1"/>
  <c r="Q62" i="6"/>
  <c r="Q59" i="6"/>
  <c r="P59" i="6" s="1"/>
  <c r="Q57" i="6"/>
  <c r="P57" i="6" s="1"/>
  <c r="Q56" i="6"/>
  <c r="P56" i="6" s="1"/>
  <c r="Q55" i="6"/>
  <c r="R55" i="6"/>
  <c r="Q54" i="6"/>
  <c r="R54" i="6"/>
  <c r="Q49" i="6"/>
  <c r="Q48" i="6" s="1"/>
  <c r="R49" i="6"/>
  <c r="Q47" i="6"/>
  <c r="Q44" i="6"/>
  <c r="P44" i="6" s="1"/>
  <c r="Q42" i="6"/>
  <c r="P42" i="6" s="1"/>
  <c r="Q41" i="6"/>
  <c r="P41" i="6" s="1"/>
  <c r="Q40" i="6"/>
  <c r="Q38" i="6"/>
  <c r="P38" i="6" s="1"/>
  <c r="Q37" i="6"/>
  <c r="P121" i="6" l="1"/>
  <c r="R106" i="6"/>
  <c r="R95" i="6" s="1"/>
  <c r="Q69" i="6"/>
  <c r="Q68" i="6" s="1"/>
  <c r="P71" i="6"/>
  <c r="P69" i="6" s="1"/>
  <c r="P68" i="6" s="1"/>
  <c r="P62" i="6"/>
  <c r="P60" i="6" s="1"/>
  <c r="Q60" i="6"/>
  <c r="P55" i="6"/>
  <c r="R53" i="6"/>
  <c r="R52" i="6" s="1"/>
  <c r="P54" i="6"/>
  <c r="Q53" i="6"/>
  <c r="R48" i="6"/>
  <c r="R46" i="6" s="1"/>
  <c r="P49" i="6"/>
  <c r="P48" i="6" s="1"/>
  <c r="Q46" i="6"/>
  <c r="P47" i="6"/>
  <c r="P40" i="6"/>
  <c r="P39" i="6" s="1"/>
  <c r="Q39" i="6"/>
  <c r="Q36" i="6" s="1"/>
  <c r="P37" i="6"/>
  <c r="Q52" i="6" l="1"/>
  <c r="P53" i="6"/>
  <c r="P52" i="6" s="1"/>
  <c r="P46" i="6"/>
  <c r="P36" i="6"/>
  <c r="M10" i="6" l="1"/>
  <c r="L10" i="6" l="1"/>
  <c r="L9" i="6" s="1"/>
  <c r="L8" i="6" s="1"/>
  <c r="M9" i="6"/>
  <c r="M8" i="6" s="1"/>
  <c r="Q182" i="6" l="1"/>
  <c r="S182" i="6"/>
  <c r="S179" i="6" s="1"/>
  <c r="Q180" i="6"/>
  <c r="R180" i="6"/>
  <c r="M178" i="6"/>
  <c r="Q178" i="6"/>
  <c r="S178" i="6"/>
  <c r="Q174" i="6"/>
  <c r="Q171" i="6"/>
  <c r="P171" i="6" s="1"/>
  <c r="Q170" i="6"/>
  <c r="P170" i="6" s="1"/>
  <c r="Q169" i="6"/>
  <c r="P169" i="6" s="1"/>
  <c r="Q168" i="6"/>
  <c r="Q166" i="6"/>
  <c r="P166" i="6" s="1"/>
  <c r="Q165" i="6"/>
  <c r="P165" i="6" s="1"/>
  <c r="Q163" i="6"/>
  <c r="Q161" i="6"/>
  <c r="P161" i="6" s="1"/>
  <c r="Q159" i="6"/>
  <c r="P159" i="6" s="1"/>
  <c r="Q158" i="6"/>
  <c r="Q156" i="6"/>
  <c r="Q150" i="6"/>
  <c r="P150" i="6" s="1"/>
  <c r="Q149" i="6"/>
  <c r="P149" i="6" s="1"/>
  <c r="Q148" i="6"/>
  <c r="P148" i="6" s="1"/>
  <c r="Q147" i="6"/>
  <c r="P147" i="6" s="1"/>
  <c r="Q144" i="6"/>
  <c r="P144" i="6" s="1"/>
  <c r="Q142" i="6"/>
  <c r="Q137" i="6"/>
  <c r="P137" i="6" s="1"/>
  <c r="Q136" i="6"/>
  <c r="R136" i="6"/>
  <c r="Q135" i="6"/>
  <c r="P135" i="6" s="1"/>
  <c r="Q134" i="6"/>
  <c r="Q132" i="6"/>
  <c r="Q129" i="6"/>
  <c r="P129" i="6" s="1"/>
  <c r="Q128" i="6"/>
  <c r="P128" i="6" s="1"/>
  <c r="Q127" i="6"/>
  <c r="P127" i="6" s="1"/>
  <c r="Q126" i="6"/>
  <c r="P126" i="6" s="1"/>
  <c r="Q125" i="6"/>
  <c r="P125" i="6" s="1"/>
  <c r="Q124" i="6"/>
  <c r="P124" i="6" s="1"/>
  <c r="Q123" i="6"/>
  <c r="Q116" i="6"/>
  <c r="P116" i="6" s="1"/>
  <c r="Q112" i="6"/>
  <c r="P112" i="6" s="1"/>
  <c r="Q111" i="6"/>
  <c r="P111" i="6" s="1"/>
  <c r="Q110" i="6"/>
  <c r="Q109" i="6"/>
  <c r="P109" i="6" s="1"/>
  <c r="Q108" i="6"/>
  <c r="P108" i="6" s="1"/>
  <c r="Q107" i="6"/>
  <c r="P107" i="6" s="1"/>
  <c r="Q104" i="6"/>
  <c r="P104" i="6" s="1"/>
  <c r="Q103" i="6"/>
  <c r="P103" i="6" s="1"/>
  <c r="Q102" i="6"/>
  <c r="P102" i="6" s="1"/>
  <c r="Q100" i="6"/>
  <c r="P100" i="6" s="1"/>
  <c r="Q99" i="6"/>
  <c r="P99" i="6" s="1"/>
  <c r="Q98" i="6"/>
  <c r="Q96" i="6"/>
  <c r="Q89" i="6"/>
  <c r="R87" i="6"/>
  <c r="Q82" i="6"/>
  <c r="P82" i="6" s="1"/>
  <c r="Q81" i="6"/>
  <c r="R79" i="6"/>
  <c r="S6" i="6" l="1"/>
  <c r="E13" i="7" s="1"/>
  <c r="P98" i="6"/>
  <c r="P97" i="6" s="1"/>
  <c r="Q97" i="6"/>
  <c r="Q106" i="6"/>
  <c r="P110" i="6"/>
  <c r="P106" i="6" s="1"/>
  <c r="P182" i="6"/>
  <c r="Q179" i="6"/>
  <c r="R179" i="6"/>
  <c r="P180" i="6"/>
  <c r="L178" i="6"/>
  <c r="M6" i="6"/>
  <c r="P178" i="6"/>
  <c r="Q173" i="6"/>
  <c r="P174" i="6"/>
  <c r="P173" i="6" s="1"/>
  <c r="P168" i="6"/>
  <c r="P167" i="6" s="1"/>
  <c r="Q167" i="6"/>
  <c r="P163" i="6"/>
  <c r="P162" i="6" s="1"/>
  <c r="Q162" i="6"/>
  <c r="Q157" i="6"/>
  <c r="P158" i="6"/>
  <c r="P157" i="6" s="1"/>
  <c r="P156" i="6"/>
  <c r="P153" i="6" s="1"/>
  <c r="Q153" i="6"/>
  <c r="Q141" i="6"/>
  <c r="Q140" i="6" s="1"/>
  <c r="P142" i="6"/>
  <c r="P141" i="6" s="1"/>
  <c r="P140" i="6" s="1"/>
  <c r="P136" i="6"/>
  <c r="R133" i="6"/>
  <c r="R131" i="6" s="1"/>
  <c r="Q133" i="6"/>
  <c r="Q131" i="6" s="1"/>
  <c r="P134" i="6"/>
  <c r="P132" i="6"/>
  <c r="Q122" i="6"/>
  <c r="Q120" i="6" s="1"/>
  <c r="P123" i="6"/>
  <c r="P122" i="6" s="1"/>
  <c r="P120" i="6" s="1"/>
  <c r="P96" i="6"/>
  <c r="P89" i="6"/>
  <c r="P88" i="6" s="1"/>
  <c r="Q88" i="6"/>
  <c r="P87" i="6"/>
  <c r="P85" i="6" s="1"/>
  <c r="R85" i="6"/>
  <c r="P81" i="6"/>
  <c r="Q77" i="6"/>
  <c r="P79" i="6"/>
  <c r="R77" i="6"/>
  <c r="E33" i="7" l="1"/>
  <c r="Q64" i="14"/>
  <c r="E14" i="7"/>
  <c r="Q95" i="6"/>
  <c r="P95" i="6"/>
  <c r="P179" i="6"/>
  <c r="R76" i="6"/>
  <c r="R6" i="6" s="1"/>
  <c r="E9" i="7" s="1"/>
  <c r="P77" i="6"/>
  <c r="P76" i="6" s="1"/>
  <c r="Q76" i="6"/>
  <c r="D5" i="7"/>
  <c r="L6" i="6"/>
  <c r="Q152" i="6"/>
  <c r="P152" i="6"/>
  <c r="P133" i="6"/>
  <c r="P131" i="6" s="1"/>
  <c r="P64" i="14" l="1"/>
  <c r="E10" i="7"/>
  <c r="E32" i="7"/>
  <c r="Q6" i="6"/>
  <c r="D22" i="7"/>
  <c r="D23" i="7" s="1"/>
  <c r="D31" i="7"/>
  <c r="D37" i="7" s="1"/>
  <c r="D38" i="7" s="1"/>
  <c r="D6" i="7"/>
  <c r="D17" i="7"/>
  <c r="D18" i="7" s="1"/>
  <c r="P6" i="6"/>
  <c r="E5" i="7" l="1"/>
  <c r="O64" i="14" l="1"/>
  <c r="E31" i="7"/>
  <c r="E37" i="7" s="1"/>
  <c r="E38" i="7" s="1"/>
  <c r="E17" i="7"/>
  <c r="E22" i="7"/>
  <c r="E23" i="7" s="1"/>
  <c r="E6" i="7"/>
  <c r="E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52" authorId="0" shapeId="0" xr:uid="{95D1152B-603B-4C94-9DDC-A86D4BF16E1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27 600 EUR rezerva -27 600 EUR + 4400 EUR (z 300)
+30 000 EUR ZŠ Murgaša
+2 000 EUR ZU3</t>
        </r>
      </text>
    </comment>
    <comment ref="D53" authorId="0" shapeId="0" xr:uid="{003CCCDA-CF8B-49AB-A344-98678F7EAB9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10 815 EUR rezerva</t>
        </r>
      </text>
    </comment>
    <comment ref="D96" authorId="0" shapeId="0" xr:uid="{76C75381-1065-4159-83C7-8269F9D1854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rezerva:
osobit. dot. 86 895 EUR-100 EUR-8400 EUR-35550 EUR-225 EUR= 42 620 EUR
stravné 12 490 EUR
ostatné osobit. Dot. 1 313 105 EUR+100 EUR+8400 EUR+35550 EUR+225 EUR= 1 357 380 EUR
stravné 767 510 EUR+53 962 EUR</t>
        </r>
      </text>
    </comment>
    <comment ref="D97" authorId="0" shapeId="0" xr:uid="{3C0C53B3-ECB1-4D02-9794-113473D94F9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34 860 EUR rezerva - 4400 EUR-175 EUR
+30 000 EUR ZŠ Murgaša
+2 000 EUR ZU3
+175 EUR POP Družstevná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10" authorId="0" shapeId="0" xr:uid="{7C87560B-2D94-48B9-84EC-C57E99EA389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2 719 EUR - odmeny
262 085 EUR - PK</t>
        </r>
      </text>
    </comment>
    <comment ref="E10" authorId="0" shapeId="0" xr:uid="{4ABB7C2A-BF44-43A9-A01A-E6B989D3915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 (111) - 23 902 EUR
6 828 EUR nepedagog. Pomoc. Vych.
4 354 EUR školský podporný tím
8 824 EUR pedagog. asistent
3 000 EUR výchovno vzd. proces
896 EUR špecifiká tar. platy</t>
        </r>
      </text>
    </comment>
    <comment ref="G10" authorId="0" shapeId="0" xr:uid="{474AC640-4073-4212-8EDD-F31B7E89D71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70 - 19 129,45 EUR
72g - 14 250  EUR
72j - 2 938,85 EUR
72f - 1 940,60 EUR</t>
        </r>
      </text>
    </comment>
    <comment ref="I10" authorId="0" shapeId="0" xr:uid="{68B9CA9B-1028-4FD0-9776-6726F582197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1 590,40 EUR</t>
        </r>
      </text>
    </comment>
    <comment ref="R10" authorId="0" shapeId="0" xr:uid="{FC4957C6-347C-456C-BCEB-F7CC83E03FF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70 - 19 129,45 EUR
72g - 14 250  EUR
72j - 2 938,85 EUR
72f - 1 940,60 EUR</t>
        </r>
      </text>
    </comment>
    <comment ref="D11" authorId="0" shapeId="0" xr:uid="{B81C8179-1B62-45E0-9DD2-8A39E5C98AF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5 438 EUR - odmeny
384 183 EUR - PK</t>
        </r>
      </text>
    </comment>
    <comment ref="E11" authorId="0" shapeId="0" xr:uid="{9288B071-6FD3-40FD-BF81-362C30B1476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11T2 - 16,60 EUR
11UA - 8 323 EUR
(111) - 31 520 EUR
150 EUR SZP
11 276 EUR nepedagog. Pomoc. Vych.
4 354 EUR školský podporný tím
8 824 EUR pedagog. asistent
5 250 EUR výchovno vzd. proces
1 666 EUR špecifiká tar. platy</t>
        </r>
      </text>
    </comment>
    <comment ref="G11" authorId="0" shapeId="0" xr:uid="{1E2BF944-DA36-4A8F-9E92-2CD45A02667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1BB1 - 8 905,82 EUR
1BB2 - 1 705,88 EUR
3BB2 - 1 802,69 EUR
70 - 29 799,35 EUR
72g - 21 005,20 EUR
72j - 5 184,95
72f - 3 609,20
 nevrátených 60 EUR 72g
</t>
        </r>
      </text>
    </comment>
    <comment ref="I11" authorId="0" shapeId="0" xr:uid="{941E3388-2989-4DBB-9B51-1D2CDA28085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3 042,20 EUR</t>
        </r>
      </text>
    </comment>
    <comment ref="R11" authorId="0" shapeId="0" xr:uid="{ECBD4FE2-DEF8-48BD-BCE6-FF140584EDA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70 - 29 859,35 EUR
72g - 21 065,20 EUR
72j - 5 184,95
72f - 3 609,20
 nevrátených 60 EUR 72g</t>
        </r>
      </text>
    </comment>
    <comment ref="D12" authorId="0" shapeId="0" xr:uid="{78491AB3-6B48-40B6-B051-F613975A3A7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6 525,60 EUR - odmeny
645 598 EUR - PK</t>
        </r>
      </text>
    </comment>
    <comment ref="E12" authorId="0" shapeId="0" xr:uid="{C4B32A1C-89CF-4D87-B470-791CA835FF6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- 9 184 EUR
131O - 101,30 EUR
(111) - 65 831,10 EUR
101,30+246,10 EUR cestovné
75 EUR SZP
24 932 EUR nepedagog. Pomoc. Vych.
13 368 EUR školský podporný tím
17 648 EUR pedagog. asistent
7 800 EUR výchovno vzd. proces
1 762 EUR špecifiká tar. platy</t>
        </r>
      </text>
    </comment>
    <comment ref="G12" authorId="0" shapeId="0" xr:uid="{004707C5-C93F-4E2E-BCF2-D03283B3780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70 - 45 435,97 EUR
72g - 36 323,35 EUR
72j - 4 365,07 EUR
72f - 4 747,55 EUR</t>
        </r>
      </text>
    </comment>
    <comment ref="I12" authorId="0" shapeId="0" xr:uid="{8D512D94-5DCF-4EB5-92E9-DA2DB2F2084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5 254,20EUR</t>
        </r>
      </text>
    </comment>
    <comment ref="R12" authorId="0" shapeId="0" xr:uid="{FE505A13-9BEB-4F09-92A8-7465CF5F2C8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70 - 45 435,97 EUR
72g - 36 323,35 EUR
72j - 4 365,07 EUR
72f - 4 747,55 EUR</t>
        </r>
      </text>
    </comment>
    <comment ref="D14" authorId="0" shapeId="0" xr:uid="{88581BDD-4218-4EE8-BF2D-B32346DAC10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3 589,08 EUR - odmeny
313 627 EUR - PK</t>
        </r>
      </text>
    </comment>
    <comment ref="E14" authorId="0" shapeId="0" xr:uid="{EC6F08A2-166E-4BD3-B5F2-DCE2DB85169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11T2 - 16,60EUR
11UA - 6 888 EUR
(111) -20 867 EUR
2 380 EUR nepedagog. Pomoc. Vych.
4 354 EUR školský podporný tím
8 824 EUR pedagog. asistent
4 200 EUR výchovno vzd. proces
1 109 EUR špecifiká tar. platy</t>
        </r>
      </text>
    </comment>
    <comment ref="G14" authorId="0" shapeId="0" xr:uid="{C56C1786-8234-4E7F-BDEA-B5DC3DD31B5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70 - 18 389,17 EUR
72g - 13 833,25  EUR
72j - 2 204,37 EUR
72f - 2 351,55 EUR</t>
        </r>
      </text>
    </comment>
    <comment ref="I14" authorId="0" shapeId="0" xr:uid="{B771A6C0-8439-4BD7-9022-9389AA23D9A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2 434,60 EUR</t>
        </r>
      </text>
    </comment>
    <comment ref="R14" authorId="0" shapeId="0" xr:uid="{CC4FD4A4-EABC-4C5E-B407-AC8320D1817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70 - 20 975,92 EUR
72g - 16 420 EUR
72j - 2 204,37 EUR
72f - 2 351,55 EUR</t>
        </r>
      </text>
    </comment>
    <comment ref="D15" authorId="0" shapeId="0" xr:uid="{93412F0B-CAFC-4271-A3B1-4D979BCEDA1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3 589,08 EUR - odmeny
348 605 EUR - PK</t>
        </r>
      </text>
    </comment>
    <comment ref="E15" authorId="0" shapeId="0" xr:uid="{F9901C8D-3243-4C3C-B70D-F307F13871E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- 0 EUR
(111) -45 052 EUR
8 896 EUR nepedagog. Pomoc. Vych.
30 682 EUR pedagog. asistent
4 350 EUR výchovno vzd. proces
1 124 EUR špecifiká tar. platy</t>
        </r>
      </text>
    </comment>
    <comment ref="G15" authorId="0" shapeId="0" xr:uid="{2B6466E3-0491-4997-B6CA-FA6AE86C32E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 27 877,82 EUR
1BB2 - 5 432,76 EUR
3BB1 -  2 122,42 EUR
3BB2 - 2 901,91 EUR
70 - 23 799,89 EUR
72g - 18 390 EUR
72j - 2 672,64 EUR
72f - 2 677,25 EUR
nevyčerpané 60 EUR 72g</t>
        </r>
      </text>
    </comment>
    <comment ref="I15" authorId="0" shapeId="0" xr:uid="{B7D3484E-F903-4648-8AF9-4B07CA3CB23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2 118,20 EUR</t>
        </r>
      </text>
    </comment>
    <comment ref="R15" authorId="0" shapeId="0" xr:uid="{E99ADDDB-7D01-4069-889F-9EBDAAA380B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70 - 23 799,89 EUR
72g - 18 450 EUR
72j - 2 672,64 EUR
72f - 2 677,25 EUR
 nevrátených 60  EUR 72g</t>
        </r>
      </text>
    </comment>
    <comment ref="D16" authorId="0" shapeId="0" xr:uid="{33947CAF-02A9-4360-987E-AAE5789E70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2 675 EUR
358 304 EUR</t>
        </r>
      </text>
    </comment>
    <comment ref="E16" authorId="0" shapeId="0" xr:uid="{60FF69AA-7ACA-4421-A4A9-89491A72EFB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- 1 722 EUR
(111) -51 103 EUR
27 312 EUR nepedagog. Pomoc. Vych.
4 354 EUR  Školský podporný tím
14 572 EUR pedagog. asistent
3 950 EUR výchovno vzd. proces
915 EUR špecifiká tar. platy</t>
        </r>
      </text>
    </comment>
    <comment ref="G16" authorId="0" shapeId="0" xr:uid="{F24BFB34-09B6-4E4C-80B6-F66815C2AE0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70 - 23 805,58 EUR
72g - 19 480 EUR
72j - 1 759,63 EUR
72f - 2 565,95 EUR
nevyčerpaných 90 EUR 72g</t>
        </r>
      </text>
    </comment>
    <comment ref="I16" authorId="0" shapeId="0" xr:uid="{AB10CE0F-C94D-4B57-BC36-3EBAFF9B6BA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2 041,20 EUR</t>
        </r>
      </text>
    </comment>
    <comment ref="R16" authorId="0" shapeId="0" xr:uid="{A464E3D8-6F01-4921-88D7-0D7516603F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70 - 23 895,58 EUR
72g - 19 570 EUR
72j - 1 759,63 EUR
72f - 2 565,95 EUR</t>
        </r>
      </text>
    </comment>
    <comment ref="D19" authorId="0" shapeId="0" xr:uid="{1BEBC751-D144-4906-ABD8-0AB6342C39D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- 1 955 EUR
111 -684 947,56 EUR
SPOLU - 686 902,56 EUR</t>
        </r>
      </text>
    </comment>
    <comment ref="E19" authorId="0" shapeId="0" xr:uid="{F83A3483-BF9C-4F6A-95CB-D99E89D61DA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11T2 - 0EUR
11UA - 18 348EUR
131O - 31,26 EUR
(111) - 90 680,74 EUR
900 EUR lyžiarsky
4 365 EUR vzd. poukazy
983,74 EUR cestovné
4 448 EUR nepedagog. asistent
1 400 EUR škola v prírode
16 569 EUR školský podporný tím
52 944EUR pedagog. asistent
3 000 EUR výchovno vzd. proces
1 812 EUR špecifiká tar. platy
4 259 EUR učebnice
vrátené cestovné 46,26 EUR</t>
        </r>
      </text>
    </comment>
    <comment ref="G19" authorId="0" shapeId="0" xr:uid="{4B9F1746-503F-4F59-9809-A0ED6E97C8D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1BB1 - 3 960 EUR
1BB2 - 1 877,16 EUR
3BB1 -  375,08 EUR
3BB2 - 2 932,84 EUR
70 - 20 129,80 EUR
72f -  4 950,80 EUR
72g - 14 779 EUR
72a - 400 EUR</t>
        </r>
      </text>
    </comment>
    <comment ref="I19" authorId="0" shapeId="0" xr:uid="{A493FD2C-1354-4470-BEDD-9FAD1C9A996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7 217,80 EUR</t>
        </r>
      </text>
    </comment>
    <comment ref="R19" authorId="0" shapeId="0" xr:uid="{A10315AC-0460-482E-9F2D-39C7135F47D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70 - 20 129,80 EUR
72f - 4 950,80 EUR
72g - 14 779 EUR
72a - 400 EUR</t>
        </r>
      </text>
    </comment>
    <comment ref="D20" authorId="0" shapeId="0" xr:uid="{14C6F18C-A84F-4CD9-A26E-7FEE8E84D3C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- 4 546EUR
111 -1 028 326 EUR
</t>
        </r>
      </text>
    </comment>
    <comment ref="E20" authorId="0" shapeId="0" xr:uid="{78EDFA64-B7AC-4B4A-B4C9-B7A09869876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11T2 - 166 EUR
11UA - 29 340 EUR
131O - 325,50 EUR
(111) - 99 263,40EUR
5 400 EUR lyžiarsky
7 482 EUR vzd. poukazy
5 904,40 EZR cestovné
700 EUR SZP
3 100 EUR škola v prírode
26 736 EUR školský podporný tím
35 296 EUR pedagog. asistent
4 050 EUR špecifiká tar. platy
10 595 EUR učebnice
vrátené cestovné 641,60 EUR</t>
        </r>
      </text>
    </comment>
    <comment ref="G20" authorId="0" shapeId="0" xr:uid="{B9718AF9-B0D5-46A5-AD63-10B956A01AE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70 -59 694,95 EUR
72g - 21 694,95 EUR
72j - 38 000 EUR</t>
        </r>
      </text>
    </comment>
    <comment ref="I20" authorId="0" shapeId="0" xr:uid="{34557700-99A4-44B8-8474-3FD62C330C4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2 655,60  EUR</t>
        </r>
      </text>
    </comment>
    <comment ref="R20" authorId="0" shapeId="0" xr:uid="{BEF72ED7-819F-4A87-9746-4FF3E042279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70 -59694,95 EUR
72g - 21 694,95 EUR
72j - 38 000 EUR</t>
        </r>
      </text>
    </comment>
    <comment ref="D21" authorId="0" shapeId="0" xr:uid="{97A48DF8-EACD-49A5-82D4-524EA18281D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- 6 664 EUR
111 -19 054,25 EUR +1 721 263 EUR = 1 740 317,25</t>
        </r>
      </text>
    </comment>
    <comment ref="E21" authorId="0" shapeId="0" xr:uid="{0EBE1B41-BBE5-4244-854D-1CE0E6286A1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11T2 - 132,80 EUR
11UA - 41 076 EUR
131O - 637,60 EUR
(111) - 201 577,10 EUR
7 500 EUR lyžiarsky
8 083 EUR vzd. poukazy
8 092,10 EUR cestovné
3 856 EUR odchodné
150 EUR SZP
4 000 EUR škola v prírode
20 358 EUR školský podporný tím
126 208 EUR pedagog. asistent
 2 550 EUR vých. vzd. proces
6 280 EUR špecifiká tar. platy
600 EUR mim. výsledky
13 900 EUR učebnice
vrátené cestovné 1 002,90 EUR</t>
        </r>
      </text>
    </comment>
    <comment ref="G21" authorId="0" shapeId="0" xr:uid="{15927DF8-55C0-4729-83B0-0D758CF7EC1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72: 67 863,55 EUR
72f
72g 14 761,40 - 6 043,01 = 8 718,39 EUR
72j 65 943,60 - 6 798,44 = 59 145,16 EUR
1BB1 - 14 379,03 EUR
1BB2 - 2 494,26 EUR
3BB2 - 2 220,22 EUR</t>
        </r>
      </text>
    </comment>
    <comment ref="I21" authorId="0" shapeId="0" xr:uid="{6931B573-E8A1-479B-96AB-E274D11C070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24 129,20 EUR</t>
        </r>
      </text>
    </comment>
    <comment ref="R21" authorId="0" shapeId="0" xr:uid="{4B5E5E3C-3B11-4B1E-8939-EE4712511375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72: 80 705 EUR
72f
72g 14 761,40 EUR
72j 65 943,60 EUR</t>
        </r>
      </text>
    </comment>
    <comment ref="D22" authorId="0" shapeId="0" xr:uid="{3085C425-AEC8-4463-B64C-B3C2A7174C8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- 7 486 EUR 
111 -1 509 204 EUR
11UA -1 043 EUR
SPOLU - 1 517 733 EUR 
</t>
        </r>
      </text>
    </comment>
    <comment ref="E22" authorId="0" shapeId="0" xr:uid="{A0195D65-C775-4C2A-B00B-B9F4CB8754A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11T2 -0EUR
11UA -14 996 EUR
131O - 64,35 EUR
(111) - 216 585,49 EUR
6 300 EUR lyžiarsky
7 046 EUR vzd. poukazy
12 854,49 EUR cestovné
9 208 EUR  nepedagog. vych.
9 100 EUR škola v prírode
152 680 EUR pedagog. asistent
4 998 EUR špecifiká tar. platy
14 399 EUR učebnice
vrátené cestovné 1 465,51EUR</t>
        </r>
      </text>
    </comment>
    <comment ref="G22" authorId="0" shapeId="0" xr:uid="{E89F07B4-C706-4D9B-9154-223445B7A03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1BB1 -18 762,90+1 490,91 EUR prenos z roku 2024
1BB2 -  5 494,23  EUR
3BB1 -  17 322,93 EUR
3BB2 - 5 227,86EUR
70 - 86 096,26 EUR
72j - 69 696,34 EUR
72g - 16 399,92 EUR - 4 712,44 EUR do KV
</t>
        </r>
      </text>
    </comment>
    <comment ref="I22" authorId="0" shapeId="0" xr:uid="{6DAA21E6-4CFD-4E86-9B43-46948BC7938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14 884,30 EUR</t>
        </r>
      </text>
    </comment>
    <comment ref="R22" authorId="0" shapeId="0" xr:uid="{2D2181FD-DF20-48D7-8B34-D54865E4AE4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70 - 86 096,26 EUR
72g - 16 399,92 EUR
72j - 69 696,34 EUR</t>
        </r>
      </text>
    </comment>
    <comment ref="D23" authorId="0" shapeId="0" xr:uid="{553823AF-07C4-41D8-A219-3D1615FFB5F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131O- 5 694 EUR
111 -1 205 191 EUR
</t>
        </r>
      </text>
    </comment>
    <comment ref="E23" authorId="0" shapeId="0" xr:uid="{F61DC8D8-6C70-494A-A1E1-B27CAD05437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11T2 - 66,40 EUR
11UA -40 750 EUR
131O - 56,36 EUR
(111) - 136 291,94 EUR
3 300 EUR lyžiarsky
8 563 EUR vzd. poukazy
5 574,94 EZR cestovné
150 EUR SZP
45 EUR vakcíny
3 200 EUR škola v prírode
9 320 EUR školský podporný tím
88 240 EUR pedagog. asistent
4 897 EUR špecifiká tar. platy
13 002 EUR učebnice
vrátené cestovné 647,06 EUR</t>
        </r>
      </text>
    </comment>
    <comment ref="G23" authorId="0" shapeId="0" xr:uid="{8969EF5A-8AD6-4B26-BE91-CEB818DC439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1BB1 - 14 803,60 EUR
1BB2 -2 909,45 EUR
3BB1 - 1 850,45 EUR
3BB2 - 2 206,50 EUR
70 - 52 899,41 EUR
72f - 10 291,05 EUR
72g - 42 608,36 EUR</t>
        </r>
      </text>
    </comment>
    <comment ref="I23" authorId="0" shapeId="0" xr:uid="{D48E4C0D-B9D1-4C86-9C80-B520C65E0021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13 682,60 EUR</t>
        </r>
      </text>
    </comment>
    <comment ref="R23" authorId="0" shapeId="0" xr:uid="{F8BC6F5B-ADE0-46CB-AA22-4C4931C86EB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70 - 52 899,41 EUR
72f - 10 291,05 EUR
72g - 42 608,36 EUR</t>
        </r>
      </text>
    </comment>
    <comment ref="D24" authorId="0" shapeId="0" xr:uid="{134FD69C-94FD-44A1-B439-D3D26C89CBA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- 3 317 EUR
111 - 717 663,74 EUR 
SPOLU - 720 980,74EUR</t>
        </r>
      </text>
    </comment>
    <comment ref="E24" authorId="0" shapeId="0" xr:uid="{40F71E05-01CC-47D4-AF11-BB3942660940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11T2 -0 EUR
11UA -0 EUR
131O - 102 ,07 EUR
(111) - 70 300,93EUR
2 550 EUR lyžiarsky
5 242 EUR vzd. poukazy
6 359,93 EUR cestovné
0 EUR SZP
8 561 EUR odchodné
1 100 EUR škola v prírode
4 660 EUR školský podporný tím
32 220 EUR pedagog. asistent
1 250 EUR výchovno vzdel. proces
1 350 EUR špecifiká tar. platy
150 EUR mimoriadne výsledky
6 858 EUR učebnice
vrátené cestovné 568,97 EUR</t>
        </r>
      </text>
    </comment>
    <comment ref="G24" authorId="0" shapeId="0" xr:uid="{1D5B03FF-1302-4130-901F-63FA95F4203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70 - 20 455,94 EUR
72g - 20 455,94 EUR
</t>
        </r>
      </text>
    </comment>
    <comment ref="I24" authorId="0" shapeId="0" xr:uid="{F4708B86-4438-4C5D-86F2-29AF6B8639E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2 507,90 EUR</t>
        </r>
      </text>
    </comment>
    <comment ref="R24" authorId="0" shapeId="0" xr:uid="{30A27AFD-6231-40E4-B8E7-74E1297028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70 - 20 455,94 EUR
72f - 20 455,94 EUR</t>
        </r>
      </text>
    </comment>
    <comment ref="E26" authorId="0" shapeId="0" xr:uid="{94E21115-7508-48FA-A096-0DFC3B6778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16 428 EUR špecifiká tar. platy</t>
        </r>
      </text>
    </comment>
    <comment ref="G26" authorId="0" shapeId="0" xr:uid="{17A905E5-0675-47FC-B68E-EE39BE60F465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72 103 175,04 EUR
72a 1 231,04 EUR
72g 101 944 EUR</t>
        </r>
      </text>
    </comment>
    <comment ref="R26" authorId="0" shapeId="0" xr:uid="{070E3C08-5724-4AD2-8173-234E3E0D4B40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72 103 175,04 EUR
72a 1 231,04 EUR
72g 101 944 EUR</t>
        </r>
      </text>
    </comment>
    <comment ref="E27" authorId="0" shapeId="0" xr:uid="{B7758698-4726-469F-B2E1-604F86C03F3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Vzdel. Poukazy (111) - 3 053 EUR
špecifiká tar. Platy (111) - 5 802 EUR</t>
        </r>
      </text>
    </comment>
    <comment ref="E28" authorId="0" shapeId="0" xr:uid="{F3247CE5-B27A-4EA6-93FF-88066974108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UP (11T2) - 0 EUR</t>
        </r>
      </text>
    </comment>
    <comment ref="I56" authorId="0" shapeId="0" xr:uid="{DC4041A2-0A0B-4612-9D8C-BAEC692541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stravné v roku 2024 do roku 2025 - </t>
        </r>
        <r>
          <rPr>
            <b/>
            <sz val="9"/>
            <color indexed="81"/>
            <rFont val="Segoe UI"/>
            <family val="2"/>
            <charset val="238"/>
          </rPr>
          <t xml:space="preserve">78 607,20 EUR
nasledovne:
</t>
        </r>
        <r>
          <rPr>
            <sz val="9"/>
            <color indexed="81"/>
            <rFont val="Segoe UI"/>
            <family val="2"/>
            <charset val="238"/>
          </rPr>
          <t>18 153,30 EUR Krátka
6 100,50 EUR Bernolákova
9 817,40 EUR Hollého
13 225,50 EUR Murgaša
6 886,70 EUR Štúra
7 808,60 EUR Pázmaňa
6 004,60 EUR MŠ Hollého
1 827 EUR MŠ Budovateľská
2 375,80 EUR MŠ Okružná
2 409,40 EUR MŠ Družstevná
1 559,60 EUR MŠ 8. mája
2 438,80 EUR MŠ Šafárika</t>
        </r>
      </text>
    </comment>
    <comment ref="R58" authorId="0" shapeId="0" xr:uid="{55641CA2-89D5-4E32-AF3A-479DD6440AE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g - 6 467,10 EUR
j - 1 121,64 EUR</t>
        </r>
      </text>
    </comment>
    <comment ref="S58" authorId="0" shapeId="0" xr:uid="{0EAD87C9-F546-4460-94A1-06D7F67181F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c - 5 000 EUR</t>
        </r>
      </text>
    </comment>
  </commentList>
</comments>
</file>

<file path=xl/sharedStrings.xml><?xml version="1.0" encoding="utf-8"?>
<sst xmlns="http://schemas.openxmlformats.org/spreadsheetml/2006/main" count="1136" uniqueCount="797">
  <si>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</si>
  <si>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</si>
  <si>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</si>
  <si>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</si>
  <si>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</si>
  <si>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</si>
  <si>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</si>
  <si>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</si>
  <si>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</si>
  <si>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</si>
  <si>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</si>
  <si>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</si>
  <si>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</si>
  <si>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</si>
  <si>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</si>
  <si>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</si>
  <si>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</si>
  <si>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</si>
  <si>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</si>
  <si>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</si>
  <si>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</si>
  <si>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</si>
  <si>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</si>
  <si>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</si>
  <si>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</si>
  <si>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</si>
  <si>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</si>
  <si>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</si>
  <si>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</si>
  <si>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</si>
  <si>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</si>
  <si>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</si>
  <si>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</si>
  <si>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</si>
  <si>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</si>
  <si>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</si>
  <si>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</si>
  <si>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</si>
  <si>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</si>
  <si>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</si>
  <si>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</si>
  <si>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</si>
  <si>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</si>
  <si>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</si>
  <si>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</si>
  <si>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</si>
  <si>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</si>
  <si>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</si>
  <si>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</si>
  <si>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</si>
  <si>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</si>
  <si>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</si>
  <si>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</si>
  <si>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</si>
  <si>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</si>
  <si>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</si>
  <si>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</si>
  <si>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</si>
  <si>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</si>
  <si>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</si>
  <si>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</si>
  <si>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</si>
  <si>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</si>
  <si>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</si>
  <si>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</si>
  <si>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</si>
  <si>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</si>
  <si>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</si>
  <si>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</si>
  <si>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</si>
  <si>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</si>
  <si>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</si>
  <si>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</si>
  <si>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</si>
  <si>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</si>
  <si>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</si>
  <si>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</si>
  <si>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</si>
  <si>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</si>
  <si>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</si>
  <si>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</si>
  <si>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</si>
  <si>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</si>
  <si>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</si>
  <si>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</si>
  <si>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</si>
  <si>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</si>
  <si>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</si>
  <si>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</si>
  <si>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</si>
  <si>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</si>
  <si>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</si>
  <si>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</si>
  <si>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</si>
  <si>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</si>
  <si>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</si>
  <si>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</si>
  <si>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</si>
  <si>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</si>
  <si>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</si>
  <si>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</si>
  <si>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</si>
  <si>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</si>
  <si>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</si>
  <si>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</si>
  <si>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</si>
  <si>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</si>
  <si>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</si>
  <si>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</si>
  <si>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</si>
  <si>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</si>
  <si>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</si>
  <si>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</si>
  <si>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</si>
  <si>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</si>
  <si>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</si>
  <si>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</si>
  <si>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</si>
  <si>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</si>
  <si>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</si>
  <si>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</si>
  <si>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</si>
  <si>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</si>
  <si>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</si>
  <si>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</si>
  <si>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</si>
  <si>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</si>
  <si>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</si>
  <si>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</si>
  <si>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</si>
  <si>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</si>
  <si>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</si>
  <si>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</si>
  <si>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</si>
  <si>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</si>
  <si>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</si>
  <si>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</si>
  <si>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</si>
  <si>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</si>
  <si>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</si>
  <si>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</si>
  <si>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</si>
  <si>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</si>
  <si>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</si>
  <si>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</si>
  <si>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</si>
  <si>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</si>
  <si>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</si>
  <si>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</si>
  <si>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</si>
  <si>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</si>
  <si>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</si>
  <si>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</si>
  <si>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</si>
  <si>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</si>
  <si>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</si>
  <si>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</si>
  <si>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</si>
  <si>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</si>
  <si>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</si>
  <si>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</si>
  <si>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</si>
  <si>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</si>
  <si>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</si>
  <si>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</si>
  <si>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</si>
  <si>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</si>
  <si>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</si>
  <si>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</si>
  <si>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</si>
  <si>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</si>
  <si>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</si>
  <si>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</si>
  <si>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</si>
  <si>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</si>
  <si>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</si>
  <si>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</si>
  <si>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</si>
  <si>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</si>
  <si>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</si>
  <si>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</si>
  <si>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</si>
  <si>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</si>
  <si>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</si>
  <si>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</si>
  <si>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</si>
  <si>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</si>
  <si>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</si>
  <si>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</si>
  <si>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</si>
  <si>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</si>
  <si>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</si>
  <si>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</si>
  <si>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</si>
  <si>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</si>
  <si>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</si>
  <si>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</si>
  <si>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</si>
  <si>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</si>
  <si>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</si>
  <si>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</si>
  <si>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</si>
  <si>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</si>
  <si>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</si>
  <si>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</si>
  <si>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</si>
  <si>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</si>
  <si>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</si>
  <si>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</si>
  <si>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</si>
  <si>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</si>
  <si>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</si>
  <si>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</si>
  <si>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</si>
  <si>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</si>
  <si>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</si>
  <si>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</si>
  <si>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</si>
  <si>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</si>
  <si>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</si>
  <si>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</si>
  <si>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</si>
  <si>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</si>
  <si>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</si>
  <si>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</si>
  <si>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</si>
  <si>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</si>
  <si>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</si>
  <si>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</si>
  <si>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</si>
  <si>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</si>
  <si>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</si>
  <si>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</si>
  <si>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</si>
  <si>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</si>
  <si>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</si>
  <si>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</si>
  <si>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</si>
  <si>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</si>
  <si>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</si>
  <si>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</si>
  <si>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</si>
  <si>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</si>
  <si>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</si>
  <si>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</si>
  <si>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</si>
  <si>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</si>
  <si>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</si>
  <si>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</si>
  <si>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</si>
  <si>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</si>
  <si>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</si>
  <si>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</si>
  <si>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</si>
  <si>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</si>
  <si>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</si>
  <si>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</si>
  <si>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</si>
  <si>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</si>
  <si>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</si>
  <si>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</si>
  <si>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</si>
  <si>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</si>
  <si>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</si>
  <si>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</si>
  <si>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</si>
  <si>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</si>
  <si>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</si>
  <si>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</si>
  <si>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</si>
  <si>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</si>
  <si>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</si>
  <si>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</si>
  <si>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</si>
  <si>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</si>
  <si>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</si>
  <si>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</si>
  <si>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</si>
  <si>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</si>
  <si>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</si>
  <si>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</si>
  <si>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</si>
  <si>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</si>
  <si>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</si>
  <si>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</si>
  <si>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</si>
  <si>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</si>
  <si>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</si>
  <si>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</si>
  <si>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</si>
  <si>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</si>
  <si>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</si>
  <si>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</si>
  <si>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</si>
  <si>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</si>
  <si>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</si>
  <si>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</si>
  <si>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</si>
  <si>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</si>
  <si>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</si>
  <si>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</si>
  <si>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</si>
  <si>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</si>
  <si>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</si>
  <si>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</si>
  <si>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</si>
  <si>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</si>
  <si>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</si>
  <si>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</si>
  <si>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</si>
  <si>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</si>
  <si>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</si>
  <si>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</si>
  <si>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</si>
  <si>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</si>
  <si>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</si>
  <si>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</si>
  <si>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</si>
  <si>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</si>
  <si>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</si>
  <si>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</si>
  <si>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</si>
  <si>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</si>
  <si>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</si>
  <si>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</si>
  <si>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</si>
  <si>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</si>
  <si>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</si>
  <si>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</si>
  <si>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</si>
  <si>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</si>
  <si>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</si>
  <si>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</si>
  <si>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</si>
  <si>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</si>
  <si>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</si>
  <si>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</si>
  <si>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</si>
  <si>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</si>
  <si>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</si>
  <si>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</si>
  <si>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</si>
  <si>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</si>
  <si>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</si>
  <si>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</si>
  <si>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</si>
  <si>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</si>
  <si>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</si>
  <si>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</si>
  <si>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</si>
  <si>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</si>
  <si>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</si>
  <si>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</si>
  <si>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</si>
  <si>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</si>
  <si>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</si>
  <si>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</si>
  <si>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</si>
  <si>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</si>
  <si>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</si>
  <si>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</si>
  <si>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</si>
  <si>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</si>
  <si>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</si>
  <si>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</si>
  <si>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</si>
  <si>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</si>
  <si>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</si>
  <si>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</si>
  <si>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</si>
  <si>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</si>
  <si>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</si>
  <si>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</si>
  <si>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</si>
  <si>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</si>
  <si>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</si>
  <si>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</si>
  <si>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</si>
  <si>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</si>
  <si>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</si>
  <si>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</si>
  <si>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</si>
  <si>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</si>
  <si>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</si>
  <si>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</si>
  <si>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</si>
  <si>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</si>
  <si>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</si>
  <si>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</si>
  <si>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</si>
  <si>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</si>
  <si>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</si>
  <si>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</si>
  <si>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</si>
  <si>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</si>
  <si>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</si>
  <si>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</si>
  <si>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</si>
  <si>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</si>
  <si>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</si>
  <si>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</si>
  <si>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</si>
  <si>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</si>
  <si>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</si>
  <si>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</si>
  <si>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</si>
  <si>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</si>
  <si>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</si>
  <si>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</si>
  <si>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</si>
  <si>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</si>
  <si>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</si>
  <si>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</si>
  <si>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</si>
  <si>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</si>
  <si>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</si>
  <si>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</si>
  <si>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</si>
  <si>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</si>
  <si>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</si>
  <si>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</si>
  <si>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</si>
  <si>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</si>
  <si>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</si>
  <si>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</si>
  <si>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</si>
  <si>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</si>
  <si>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</si>
  <si>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</si>
  <si>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</si>
  <si>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</si>
  <si>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</si>
  <si>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</si>
  <si>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</si>
  <si>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</si>
  <si>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</si>
  <si>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</si>
  <si>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</si>
  <si>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</si>
  <si>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</si>
  <si>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</si>
  <si>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</si>
  <si>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</si>
  <si>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</si>
  <si>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</si>
  <si>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</si>
  <si>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</si>
  <si>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</si>
  <si>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</si>
  <si>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</si>
  <si>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</si>
  <si>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</si>
  <si>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</si>
  <si>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</si>
  <si>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</si>
  <si>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</si>
  <si>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</si>
  <si>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</si>
  <si>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</si>
  <si>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</si>
  <si>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</si>
  <si>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</si>
  <si>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</si>
  <si>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</si>
  <si>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</si>
  <si>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</si>
  <si>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</si>
  <si>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</si>
  <si>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</si>
  <si>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</si>
  <si>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</si>
  <si>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</si>
  <si>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</si>
  <si>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</si>
  <si>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</si>
  <si>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</si>
  <si>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</si>
  <si>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</si>
  <si>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</si>
  <si>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</si>
  <si>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</si>
  <si>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</si>
  <si>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</si>
  <si>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</si>
  <si>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</si>
  <si>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</si>
  <si>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</si>
  <si>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</si>
  <si>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</si>
  <si>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</si>
  <si>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</si>
  <si>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</si>
  <si>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</si>
  <si>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</si>
  <si>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</si>
  <si>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</si>
  <si>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</si>
  <si>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</si>
  <si>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</si>
  <si>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</si>
  <si>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</si>
  <si>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</si>
  <si>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</si>
  <si>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</si>
  <si>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</si>
  <si>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</si>
  <si>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</si>
  <si>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</si>
  <si>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</si>
  <si>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</si>
  <si>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</si>
  <si>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</si>
  <si>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</si>
  <si>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</si>
  <si>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</si>
  <si>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</si>
  <si>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</si>
  <si>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</si>
  <si>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</si>
  <si>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pre MŠ za predškolákov</t>
  </si>
  <si>
    <t>odchodné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</si>
  <si>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</si>
  <si>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</si>
  <si>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</si>
  <si>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</si>
  <si>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</si>
  <si>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</si>
  <si>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</si>
  <si>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</si>
  <si>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</si>
  <si>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</si>
  <si>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</si>
  <si>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</si>
  <si>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</si>
  <si>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</si>
  <si>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</si>
  <si>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</si>
  <si>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Skutočnosť školstvo spolu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</si>
  <si>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</si>
  <si>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</si>
  <si>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</si>
  <si>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</si>
  <si>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</si>
  <si>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</si>
  <si>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</si>
  <si>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</si>
  <si>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</si>
  <si>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</si>
  <si>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</si>
  <si>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</si>
  <si>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</si>
  <si>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</si>
  <si>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</si>
  <si>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</si>
  <si>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</si>
  <si>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</si>
  <si>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</si>
  <si>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</si>
  <si>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</si>
  <si>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</si>
  <si>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</si>
  <si>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</si>
  <si>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</si>
  <si>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</si>
  <si>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audiovizuálny fond</t>
  </si>
  <si>
    <t>312 príjmy MsKS - Zlatá Priadka</t>
  </si>
  <si>
    <t>312 FPU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</si>
  <si>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</si>
  <si>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</si>
  <si>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</si>
  <si>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</si>
  <si>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</si>
  <si>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</si>
  <si>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</si>
  <si>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</si>
  <si>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</si>
  <si>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</si>
  <si>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</si>
  <si>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</si>
  <si>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</si>
  <si>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</si>
  <si>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</si>
  <si>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</si>
  <si>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321 grant ihrisko</t>
  </si>
  <si>
    <t>292 refundácie, kolky, ostatné príjmy, Nemčeková, vec. bremeno</t>
  </si>
  <si>
    <t>311 Grant JUVAMEN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</si>
  <si>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</si>
  <si>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</si>
  <si>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</si>
  <si>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</si>
  <si>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</si>
  <si>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</si>
  <si>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</si>
  <si>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</si>
  <si>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</si>
  <si>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</si>
  <si>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</si>
  <si>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</si>
  <si>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</si>
  <si>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321 dotácia - dopravné ihrisko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</si>
  <si>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</si>
  <si>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</si>
  <si>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</si>
  <si>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</si>
  <si>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</si>
  <si>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</si>
  <si>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312 dotácia kybernetická bezpečnosť</t>
  </si>
  <si>
    <t>rozvojové projekty</t>
  </si>
  <si>
    <t>311 grant dopravné ihrisko</t>
  </si>
  <si>
    <t xml:space="preserve">321 grant JUVAMEN  </t>
  </si>
  <si>
    <t xml:space="preserve">312 dotácia MPSVaR SR </t>
  </si>
  <si>
    <t>Nízkoprahové denné centrum</t>
  </si>
  <si>
    <t>Čerpanie výdavkov rozpočtu v RO</t>
  </si>
  <si>
    <t>Plnenie príjmov rozpočtu RO</t>
  </si>
  <si>
    <t>Tabuľka č. 5  Plnenie príjmov a čerpanie výdavkov rozpočtových organizácií a spolu mesta Šaľa</t>
  </si>
  <si>
    <t>SPOLU</t>
  </si>
  <si>
    <t>plnenie 2023</t>
  </si>
  <si>
    <t>skutočnosť 2023</t>
  </si>
  <si>
    <t>plnenie rozpočtu 2023</t>
  </si>
  <si>
    <t>311 grant SMART</t>
  </si>
  <si>
    <t>311 grant kybernetická bezpečnosť</t>
  </si>
  <si>
    <t>321 dotácia predstaničný priestor</t>
  </si>
  <si>
    <t>KV školstvo</t>
  </si>
  <si>
    <t>311 grant Ekofond SPP - jarmok</t>
  </si>
  <si>
    <t>311 grant Ekopolis - stromy ihrisko 8. mája</t>
  </si>
  <si>
    <t>311 grant Úrad vlády - ihrisko Kpt. Jaroša</t>
  </si>
  <si>
    <t>312 dotácia Riešenie migračných výziev</t>
  </si>
  <si>
    <t xml:space="preserve">321 dotácia MPSVaR SR </t>
  </si>
  <si>
    <t>11.</t>
  </si>
  <si>
    <t>312 Dotácia na zmiernenie inflácie</t>
  </si>
  <si>
    <t>321 dotácia fotovoltika</t>
  </si>
  <si>
    <t>321 dotácia ihriská</t>
  </si>
  <si>
    <t>321 dotácia MŠ Budovateľská</t>
  </si>
  <si>
    <t>220,320</t>
  </si>
  <si>
    <t>plnenie 2024</t>
  </si>
  <si>
    <t>skutočnosť 2024</t>
  </si>
  <si>
    <t>plnenie rozpočtu 2024</t>
  </si>
  <si>
    <t>Skutočnosť 2024</t>
  </si>
  <si>
    <t>292 parkovné</t>
  </si>
  <si>
    <t>Cyklotrasa</t>
  </si>
  <si>
    <t>321 dotácia NsK</t>
  </si>
  <si>
    <t>15.</t>
  </si>
  <si>
    <t>12.</t>
  </si>
  <si>
    <t>Cintorín - kolumbárium</t>
  </si>
  <si>
    <t>Pedagogický asistent</t>
  </si>
  <si>
    <t>Školský podporný tím</t>
  </si>
  <si>
    <t>321 dotácia MFSR - amfiteáter</t>
  </si>
  <si>
    <t>321 dotácia ČSOB - cykloboxy</t>
  </si>
  <si>
    <t>POO - profes. roz. pedag.</t>
  </si>
  <si>
    <t>mimoriadne výsledky</t>
  </si>
  <si>
    <t>Tabuľka č. 1 Plnenie  príjmov rozpočtu v roku 2025</t>
  </si>
  <si>
    <t xml:space="preserve">  Tabuľka č. 2 Čerpanie výdavkov rozpočtu v roku 2025</t>
  </si>
  <si>
    <t>Tabuľka č. 3 Sumár príjmov a výdavkov rozpočtu v roku 2025</t>
  </si>
  <si>
    <t>Tabuľka č. 4 Investície 2025</t>
  </si>
  <si>
    <t>rozpočet 2025</t>
  </si>
  <si>
    <t>plnenie 2025</t>
  </si>
  <si>
    <t>skutočnosť 2025</t>
  </si>
  <si>
    <t>plnenie rozpočtu 2025</t>
  </si>
  <si>
    <t>321 grant MDaV SR - Plán obnovy ZŠ Bernolákova</t>
  </si>
  <si>
    <t>500 úver ŠFRB, prekl. Úver</t>
  </si>
  <si>
    <t>500 úver z Enviromentálneho fondu</t>
  </si>
  <si>
    <t>investície 2025</t>
  </si>
  <si>
    <t>čerpanie 2025</t>
  </si>
  <si>
    <t>Nákup automobilov</t>
  </si>
  <si>
    <t>DK - premietacie zariadenie</t>
  </si>
  <si>
    <t>Amfiteáter - rekonštrukcia sedenia</t>
  </si>
  <si>
    <t>Záväzky z roku 2024</t>
  </si>
  <si>
    <t>9.</t>
  </si>
  <si>
    <t>výchovno vzdelávací proces</t>
  </si>
  <si>
    <t xml:space="preserve">456 zábezpeka </t>
  </si>
  <si>
    <t xml:space="preserve">3. </t>
  </si>
  <si>
    <t>Výkup pozemkov</t>
  </si>
  <si>
    <t>MŠ Budovateľská - umývačka riadu</t>
  </si>
  <si>
    <t>MŠ Šafárika - nákup sporáka</t>
  </si>
  <si>
    <t>133004 daň za predajné automaty</t>
  </si>
  <si>
    <t>ZŠ Horná - rek. soc. zariadení</t>
  </si>
  <si>
    <t>ZŠ J.C. Hronského - rek. šport. areálu</t>
  </si>
  <si>
    <t>312 Dotácia na odmeny zamestnancov</t>
  </si>
  <si>
    <t>311 grant cyklotrasa</t>
  </si>
  <si>
    <t>ZŠ Bernolákova - rekonštrukcia hlavnej budovy</t>
  </si>
  <si>
    <t>ZŠ Bernolákova - rekonštrukcia jedálne a dielní</t>
  </si>
  <si>
    <t>ZŠ Bernolákova - rekonštrukcia fasády telocvične</t>
  </si>
  <si>
    <t>MŠ Okružná - rekonštrukcia stien, plafónov, maliarske práce</t>
  </si>
  <si>
    <t>ZŠ J.C. Hronského - plynový varný kotol do ŠJ</t>
  </si>
  <si>
    <t>MsÚ - záložný zdroj</t>
  </si>
  <si>
    <t>ZŠ Horná - interaktívne tabule</t>
  </si>
  <si>
    <t>ZŠ Horná - klimatizácia</t>
  </si>
  <si>
    <t>špecifiká - tarifné platy</t>
  </si>
  <si>
    <t>špecifiká vakcíny</t>
  </si>
  <si>
    <t>321 grant školy</t>
  </si>
  <si>
    <t>dopravné žiakov</t>
  </si>
  <si>
    <t>vzdelávacie poukazy</t>
  </si>
  <si>
    <t>plán obnovy</t>
  </si>
  <si>
    <t>SZP</t>
  </si>
  <si>
    <t>odstupné</t>
  </si>
  <si>
    <t>lyžiarsky výcvik</t>
  </si>
  <si>
    <t>škola v prírode</t>
  </si>
  <si>
    <t xml:space="preserve">Nepedagog. zamest. pomocný vychovávateľ </t>
  </si>
  <si>
    <t>špecifiká - ochranné pomôcky</t>
  </si>
  <si>
    <t>školské potreby</t>
  </si>
  <si>
    <t>Pomocný vychovávateľ</t>
  </si>
  <si>
    <t>PO - jazykový kurz</t>
  </si>
  <si>
    <t>P.č.</t>
  </si>
  <si>
    <t>Veriteľ</t>
  </si>
  <si>
    <t>Pôvodná výška úveru</t>
  </si>
  <si>
    <t>Dátum podpísania úverovej zmluvy</t>
  </si>
  <si>
    <t>Dátum splatnosti úveru</t>
  </si>
  <si>
    <t>Výška nesplat. istiny k 31.12. 2023 v EUR</t>
  </si>
  <si>
    <t>Výška nesplat. istiny k 31.12. 2024 v EUR</t>
  </si>
  <si>
    <t>Aktuálna úroková sadzba</t>
  </si>
  <si>
    <t xml:space="preserve">Periodicita splácania </t>
  </si>
  <si>
    <t>Účel úveru</t>
  </si>
  <si>
    <t>ŠFRB I</t>
  </si>
  <si>
    <t>1 317 tis. EUR</t>
  </si>
  <si>
    <t>31.1. 2032</t>
  </si>
  <si>
    <t>mesačne                               6 213,93 EUR (istina a úrok)</t>
  </si>
  <si>
    <t>výstavba nájomných bytov</t>
  </si>
  <si>
    <t>2.</t>
  </si>
  <si>
    <t>ŠFRB II</t>
  </si>
  <si>
    <t>521 tis. EUR</t>
  </si>
  <si>
    <t>mesačne                            2 455,12 EUR (istina a úrok)</t>
  </si>
  <si>
    <t>3.</t>
  </si>
  <si>
    <t>ŠFRB III</t>
  </si>
  <si>
    <t>1 514 tis. EUR</t>
  </si>
  <si>
    <t>30.10.2058</t>
  </si>
  <si>
    <t>mesačne                               3 828,24 EUR (istina a úrok)</t>
  </si>
  <si>
    <t>výstavba 34 nájomných bytov Kráľovská ul.</t>
  </si>
  <si>
    <t>4.</t>
  </si>
  <si>
    <t>ŠFRB IV</t>
  </si>
  <si>
    <t>5 084 tis. EUR</t>
  </si>
  <si>
    <t>30.10.2059</t>
  </si>
  <si>
    <t>mesačne                              12 855,20 EUR (istina a úrok)</t>
  </si>
  <si>
    <t>výstavba 116 nájomných bytov Kráľovská ul.</t>
  </si>
  <si>
    <t>Reštrukturalizovaný úver UniCredit Bank Czech Republic and Slovakia, a. s.</t>
  </si>
  <si>
    <t>5 821 189,35 EUR</t>
  </si>
  <si>
    <t>29.12.2034</t>
  </si>
  <si>
    <t>12M+0,18%</t>
  </si>
  <si>
    <t>štvrťročne istina 111 946 EUR od 31.3.2022, úrok mesačne</t>
  </si>
  <si>
    <t>Domov dôchodcov, CMZ, OPŽP, rekonštrukcia MsÚ, MK Horná, Feketeházy, skate park, 3. etapa VO, kontajnery, SD Veča, dopravný generej, projektová dokumentácia, ZŠ Ľ. Štúra -kanalizácia a rekonštrukcia, cyklotrasa - výkup pozemkov, revitalizácia vnútrobloku vo Veči, ihrisko Ul. 8. mája, SD Veča, skate park, učebne v ZŠ, klimatizácia COV, ZUŠ-elektorinštalačné práce, 3. etapa rekonštrukcie VO, rekonštrukcia MŠ Družstevná, CVČ - rekonštrukcia kanalizácie,  projektová dukumetácia, ihrisko MAJK, MK Horná, rekonštrukcia chodníkov, technicá vybavenosť k bytom Kráľovská ul.,  ZŠ Hollého - strecha, MŠ Okružná - rekonštrukcia soc. zariadení, rekonštrukcia ZŠ Ľ. Štúra, kopírovacie zariadenia MsÚ, projektová dokumentácia k rekonštrukcii DK Šaľa, revitalizácia lesoparku, záchytné parkovisko - predstaničný priestor a cyklotrasa smer Diakovce.</t>
  </si>
  <si>
    <t>6.</t>
  </si>
  <si>
    <t>UniCredit Bank Czech Republic and Slovakia, a. s.</t>
  </si>
  <si>
    <t>31.12.2036</t>
  </si>
  <si>
    <t>3M+0,12%</t>
  </si>
  <si>
    <t>štvrťročne istina      9 615 EUR , od 31.03.2024, úrok mesačne</t>
  </si>
  <si>
    <t>plaváreň, stanovištia kontajnerov</t>
  </si>
  <si>
    <t>7.</t>
  </si>
  <si>
    <t>ČSOB</t>
  </si>
  <si>
    <t>1 330 000 EUR</t>
  </si>
  <si>
    <t>27.02.2040</t>
  </si>
  <si>
    <t>1M+0,40%</t>
  </si>
  <si>
    <t>mesačne istina 7 389 EUR , od 25.3.2025, úrok mesačne</t>
  </si>
  <si>
    <t>rekonštrukcia ciest, predstaničného priestoru, parkoviska pri cintoríne, DK a projektová dokumnetácia k plavárni</t>
  </si>
  <si>
    <t>8.</t>
  </si>
  <si>
    <t>Siemens s.r.o.</t>
  </si>
  <si>
    <t>31.7.2028</t>
  </si>
  <si>
    <t>bezúročné</t>
  </si>
  <si>
    <t>ročná istina      115 000 EUR</t>
  </si>
  <si>
    <t>rekonštrukcia verejného osvetlenia</t>
  </si>
  <si>
    <t>EUROVIA SK s.r.o.</t>
  </si>
  <si>
    <t>2 269 000 EUR</t>
  </si>
  <si>
    <t>25.11.2031</t>
  </si>
  <si>
    <t>ročná istina      226 899,96 EUR</t>
  </si>
  <si>
    <t>rekonštrukcia mestských komunikácii</t>
  </si>
  <si>
    <t>10.</t>
  </si>
  <si>
    <t>Menert s.r.o.</t>
  </si>
  <si>
    <t>1 974 367,7 EUR</t>
  </si>
  <si>
    <t>23.05.2026</t>
  </si>
  <si>
    <t>ročná istina      493 591,93 EUR</t>
  </si>
  <si>
    <t>rekonštrukcia DK</t>
  </si>
  <si>
    <t>KTK UniCredit Bank Czech Republic and Slovakia, a. s.</t>
  </si>
  <si>
    <t>500 000 EUR</t>
  </si>
  <si>
    <t>31.12.2024</t>
  </si>
  <si>
    <t>1M+0,18%</t>
  </si>
  <si>
    <t>preklen. UniCredit Bank Czech Republic and Slovakia, a. s.</t>
  </si>
  <si>
    <t>3 700 000 EUR</t>
  </si>
  <si>
    <t>31.08.2024</t>
  </si>
  <si>
    <t>1M+0,31%</t>
  </si>
  <si>
    <t>jednorazovo po pripísaní NFP</t>
  </si>
  <si>
    <t>preklenovací úver na rekonštrukciu predstaničného priestoru a projekt SMART vo výške očakávaného NFP</t>
  </si>
  <si>
    <t>Bežné príjmy v roku 2024 znížené o prostriedky z rozpočtu iného subjektu verejnej správy a EÚ, poplatku za KO, dani za rozvoj, príjmy RO, nájomné byty bez istiny a úroky, výruby</t>
  </si>
  <si>
    <t>Tabuľka č. 5  Úverová zaťaženosť mesta k 31.12. 2025 v EUR</t>
  </si>
  <si>
    <t>Výška nesplat. istiny k 31.12. 2025 v EUR</t>
  </si>
  <si>
    <t>ročná splátka úrokov a poplatkov v roku 2025</t>
  </si>
  <si>
    <t>ročná splátka istiny v roku 2025</t>
  </si>
  <si>
    <t>Enviromentálny fond</t>
  </si>
  <si>
    <t>nákup 2 ks automobilov pre MsP</t>
  </si>
  <si>
    <t>77 036,54 EUR</t>
  </si>
  <si>
    <t>25.02.2031</t>
  </si>
  <si>
    <t>mesačná splátka      1 284 EUR</t>
  </si>
  <si>
    <t>Výška nesplatenenej istiny, ktorá vchádza do úverovej zaťaženosti (bez úverov ŠFRB, preklenovacích úverov, KTK a Enviromentálneho fondu) k 31.12.2025</t>
  </si>
  <si>
    <t>Výška  istiny vrátane úhrady úrokov a poplatkov  (bez ich jednorazového predčasného splatenia) zaplatených v roku 2025</t>
  </si>
  <si>
    <t xml:space="preserve">Bežné príjmy v roku 2024  </t>
  </si>
  <si>
    <t>Podiel splátky istiny vrátane úhrady úrokov a poplatkov (bez ich jednorazového predčasného splatenia.) na BP mesta za rok 2024 (max 25%) znížených o prostriedky z rozpočtu iného subjektu verejnej správy v EÚ a ostatné účelové príjmy</t>
  </si>
  <si>
    <t>Úverová zaťaženosť mesta k 31.12.2025 v zmysle zákona č. 583/2004 Z.z. o rozpočtových pravidlách (max 60 %)</t>
  </si>
  <si>
    <t>1 640 904,11 EUR</t>
  </si>
  <si>
    <t>Predstaničný priestor - elektronizácia cykloboxov</t>
  </si>
  <si>
    <t>SMART mesto Šaľa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</si>
</sst>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8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8"/>
      <name val="Arial CE"/>
      <charset val="238"/>
    </font>
    <font>
      <b/>
      <sz val="9"/>
      <color indexed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0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1" fillId="0" borderId="56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0" fontId="45" fillId="0" borderId="118" xfId="1" applyFont="1" applyBorder="1"/>
    <xf numFmtId="0" fontId="45" fillId="0" borderId="119" xfId="1" applyFont="1" applyBorder="1"/>
    <xf numFmtId="0" fontId="45" fillId="0" borderId="8" xfId="1" applyFont="1" applyBorder="1"/>
    <xf numFmtId="0" fontId="45" fillId="0" borderId="120" xfId="1" applyFont="1" applyBorder="1"/>
    <xf numFmtId="0" fontId="2" fillId="0" borderId="7" xfId="1" applyFont="1" applyBorder="1"/>
    <xf numFmtId="0" fontId="6" fillId="0" borderId="120" xfId="1" applyFont="1" applyBorder="1"/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49" fontId="65" fillId="0" borderId="94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49" fontId="31" fillId="0" borderId="94" xfId="3" applyNumberFormat="1" applyFont="1" applyBorder="1" applyAlignment="1">
      <alignment horizontal="right" wrapText="1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0" fontId="72" fillId="0" borderId="0" xfId="0" applyFont="1"/>
    <xf numFmtId="0" fontId="13" fillId="0" borderId="0" xfId="0" applyFont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31" fillId="0" borderId="95" xfId="5" applyFont="1" applyBorder="1"/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3" fontId="13" fillId="0" borderId="0" xfId="0" applyNumberFormat="1" applyFont="1"/>
    <xf numFmtId="3" fontId="76" fillId="0" borderId="0" xfId="0" applyNumberFormat="1" applyFont="1"/>
    <xf numFmtId="3" fontId="77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4" fontId="65" fillId="0" borderId="56" xfId="3" applyNumberFormat="1" applyFont="1" applyBorder="1"/>
    <xf numFmtId="4" fontId="65" fillId="0" borderId="72" xfId="3" applyNumberFormat="1" applyFont="1" applyBorder="1"/>
    <xf numFmtId="4" fontId="65" fillId="0" borderId="67" xfId="3" applyNumberFormat="1" applyFont="1" applyBorder="1"/>
    <xf numFmtId="4" fontId="65" fillId="0" borderId="98" xfId="3" applyNumberFormat="1" applyFont="1" applyBorder="1"/>
    <xf numFmtId="4" fontId="65" fillId="0" borderId="124" xfId="3" applyNumberFormat="1" applyFont="1" applyBorder="1"/>
    <xf numFmtId="4" fontId="65" fillId="0" borderId="64" xfId="3" applyNumberFormat="1" applyFont="1" applyBorder="1"/>
    <xf numFmtId="4" fontId="13" fillId="0" borderId="0" xfId="0" applyNumberFormat="1" applyFont="1"/>
    <xf numFmtId="4" fontId="65" fillId="0" borderId="97" xfId="3" applyNumberFormat="1" applyFont="1" applyBorder="1"/>
    <xf numFmtId="4" fontId="65" fillId="0" borderId="151" xfId="3" applyNumberFormat="1" applyFont="1" applyBorder="1"/>
    <xf numFmtId="4" fontId="65" fillId="0" borderId="66" xfId="3" applyNumberFormat="1" applyFont="1" applyBorder="1"/>
    <xf numFmtId="4" fontId="65" fillId="0" borderId="99" xfId="3" applyNumberFormat="1" applyFont="1" applyBorder="1"/>
    <xf numFmtId="4" fontId="65" fillId="0" borderId="63" xfId="3" applyNumberFormat="1" applyFont="1" applyBorder="1"/>
    <xf numFmtId="3" fontId="73" fillId="0" borderId="88" xfId="0" applyNumberFormat="1" applyFont="1" applyBorder="1" applyAlignment="1">
      <alignment horizontal="center" vertical="center" wrapText="1"/>
    </xf>
    <xf numFmtId="4" fontId="64" fillId="0" borderId="127" xfId="5" applyNumberFormat="1" applyFont="1" applyBorder="1" applyAlignment="1">
      <alignment horizontal="center" vertical="center" wrapText="1"/>
    </xf>
    <xf numFmtId="4" fontId="31" fillId="0" borderId="71" xfId="0" applyNumberFormat="1" applyFont="1" applyBorder="1" applyAlignment="1">
      <alignment horizontal="center" vertical="center" wrapText="1"/>
    </xf>
    <xf numFmtId="4" fontId="31" fillId="0" borderId="60" xfId="0" applyNumberFormat="1" applyFont="1" applyBorder="1" applyAlignment="1">
      <alignment horizontal="center" vertical="center" wrapText="1"/>
    </xf>
    <xf numFmtId="4" fontId="31" fillId="0" borderId="136" xfId="0" applyNumberFormat="1" applyFont="1" applyBorder="1" applyAlignment="1">
      <alignment horizontal="center" vertical="center" wrapText="1"/>
    </xf>
    <xf numFmtId="1" fontId="64" fillId="0" borderId="85" xfId="5" applyNumberFormat="1" applyFont="1" applyBorder="1" applyAlignment="1">
      <alignment horizontal="center" vertical="center" wrapText="1"/>
    </xf>
    <xf numFmtId="4" fontId="21" fillId="0" borderId="156" xfId="5" applyNumberFormat="1" applyFont="1" applyBorder="1" applyAlignment="1">
      <alignment vertical="center" wrapText="1"/>
    </xf>
    <xf numFmtId="4" fontId="21" fillId="0" borderId="75" xfId="5" applyNumberFormat="1" applyFont="1" applyBorder="1" applyAlignment="1">
      <alignment horizontal="center" vertical="center" wrapText="1"/>
    </xf>
    <xf numFmtId="4" fontId="21" fillId="0" borderId="88" xfId="5" applyNumberFormat="1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 wrapText="1"/>
    </xf>
    <xf numFmtId="4" fontId="31" fillId="0" borderId="94" xfId="3" applyNumberFormat="1" applyFont="1" applyBorder="1" applyAlignment="1">
      <alignment horizontal="right" vertical="center"/>
    </xf>
    <xf numFmtId="4" fontId="31" fillId="0" borderId="128" xfId="3" applyNumberFormat="1" applyFont="1" applyBorder="1" applyAlignment="1">
      <alignment horizontal="right" vertical="center"/>
    </xf>
    <xf numFmtId="4" fontId="31" fillId="0" borderId="161" xfId="3" applyNumberFormat="1" applyFont="1" applyBorder="1" applyAlignment="1">
      <alignment horizontal="right" vertical="center"/>
    </xf>
    <xf numFmtId="4" fontId="31" fillId="0" borderId="130" xfId="3" applyNumberFormat="1" applyFont="1" applyBorder="1" applyAlignment="1">
      <alignment horizontal="right" vertical="center"/>
    </xf>
    <xf numFmtId="4" fontId="7" fillId="0" borderId="86" xfId="5" applyNumberFormat="1" applyFont="1" applyBorder="1" applyAlignment="1">
      <alignment horizontal="right"/>
    </xf>
    <xf numFmtId="4" fontId="7" fillId="0" borderId="94" xfId="5" applyNumberFormat="1" applyFont="1" applyBorder="1" applyAlignment="1">
      <alignment horizontal="right"/>
    </xf>
    <xf numFmtId="4" fontId="7" fillId="0" borderId="128" xfId="5" applyNumberFormat="1" applyFont="1" applyBorder="1" applyAlignment="1">
      <alignment horizontal="right"/>
    </xf>
    <xf numFmtId="4" fontId="7" fillId="0" borderId="87" xfId="5" applyNumberFormat="1" applyFont="1" applyBorder="1" applyAlignment="1">
      <alignment horizontal="right"/>
    </xf>
    <xf numFmtId="4" fontId="31" fillId="0" borderId="147" xfId="3" applyNumberFormat="1" applyFont="1" applyBorder="1" applyAlignment="1">
      <alignment horizontal="right" vertical="center"/>
    </xf>
    <xf numFmtId="4" fontId="65" fillId="0" borderId="77" xfId="5" applyNumberFormat="1" applyFont="1" applyBorder="1" applyAlignment="1">
      <alignment horizontal="right" vertical="center"/>
    </xf>
    <xf numFmtId="4" fontId="7" fillId="0" borderId="77" xfId="5" applyNumberFormat="1" applyFont="1" applyBorder="1" applyAlignment="1">
      <alignment horizontal="right" vertical="center" wrapText="1"/>
    </xf>
    <xf numFmtId="4" fontId="1" fillId="0" borderId="77" xfId="5" applyNumberFormat="1" applyBorder="1" applyAlignment="1">
      <alignment horizontal="right" vertical="center"/>
    </xf>
    <xf numFmtId="4" fontId="31" fillId="0" borderId="152" xfId="5" applyNumberFormat="1" applyFont="1" applyBorder="1" applyAlignment="1">
      <alignment horizontal="right" vertical="center" wrapText="1"/>
    </xf>
    <xf numFmtId="4" fontId="31" fillId="0" borderId="152" xfId="3" applyNumberFormat="1" applyFont="1" applyBorder="1" applyAlignment="1">
      <alignment horizontal="right" vertical="center" wrapText="1"/>
    </xf>
    <xf numFmtId="4" fontId="31" fillId="0" borderId="0" xfId="3" applyNumberFormat="1" applyFont="1" applyAlignment="1">
      <alignment horizontal="right" vertical="center" wrapText="1"/>
    </xf>
    <xf numFmtId="4" fontId="1" fillId="0" borderId="84" xfId="5" applyNumberFormat="1" applyBorder="1"/>
    <xf numFmtId="4" fontId="1" fillId="0" borderId="147" xfId="5" applyNumberFormat="1" applyBorder="1"/>
    <xf numFmtId="4" fontId="1" fillId="0" borderId="77" xfId="5" applyNumberFormat="1" applyBorder="1"/>
    <xf numFmtId="4" fontId="1" fillId="0" borderId="91" xfId="5" applyNumberFormat="1" applyBorder="1"/>
    <xf numFmtId="4" fontId="13" fillId="0" borderId="147" xfId="0" applyNumberFormat="1" applyFont="1" applyBorder="1"/>
    <xf numFmtId="4" fontId="13" fillId="0" borderId="77" xfId="0" applyNumberFormat="1" applyFont="1" applyBorder="1"/>
    <xf numFmtId="4" fontId="13" fillId="0" borderId="87" xfId="0" applyNumberFormat="1" applyFont="1" applyBorder="1"/>
    <xf numFmtId="3" fontId="13" fillId="0" borderId="86" xfId="0" applyNumberFormat="1" applyFont="1" applyBorder="1"/>
    <xf numFmtId="4" fontId="67" fillId="0" borderId="94" xfId="3" applyNumberFormat="1" applyFont="1" applyBorder="1"/>
    <xf numFmtId="4" fontId="67" fillId="0" borderId="128" xfId="3" applyNumberFormat="1" applyFont="1" applyBorder="1"/>
    <xf numFmtId="4" fontId="67" fillId="0" borderId="161" xfId="3" applyNumberFormat="1" applyFont="1" applyBorder="1"/>
    <xf numFmtId="4" fontId="67" fillId="0" borderId="130" xfId="3" applyNumberFormat="1" applyFont="1" applyBorder="1"/>
    <xf numFmtId="4" fontId="7" fillId="0" borderId="86" xfId="5" applyNumberFormat="1" applyFont="1" applyBorder="1"/>
    <xf numFmtId="4" fontId="7" fillId="0" borderId="94" xfId="5" applyNumberFormat="1" applyFont="1" applyBorder="1"/>
    <xf numFmtId="4" fontId="7" fillId="0" borderId="128" xfId="5" applyNumberFormat="1" applyFont="1" applyBorder="1"/>
    <xf numFmtId="4" fontId="7" fillId="0" borderId="87" xfId="5" applyNumberFormat="1" applyFont="1" applyBorder="1"/>
    <xf numFmtId="4" fontId="65" fillId="0" borderId="150" xfId="3" applyNumberFormat="1" applyFont="1" applyBorder="1"/>
    <xf numFmtId="4" fontId="1" fillId="0" borderId="56" xfId="5" applyNumberFormat="1" applyBorder="1"/>
    <xf numFmtId="4" fontId="1" fillId="0" borderId="66" xfId="5" applyNumberFormat="1" applyBorder="1"/>
    <xf numFmtId="4" fontId="7" fillId="0" borderId="161" xfId="5" applyNumberFormat="1" applyFont="1" applyBorder="1"/>
    <xf numFmtId="4" fontId="7" fillId="0" borderId="130" xfId="5" applyNumberFormat="1" applyFont="1" applyBorder="1"/>
    <xf numFmtId="4" fontId="1" fillId="0" borderId="98" xfId="5" applyNumberFormat="1" applyBorder="1"/>
    <xf numFmtId="4" fontId="65" fillId="0" borderId="158" xfId="3" applyNumberFormat="1" applyFont="1" applyBorder="1"/>
    <xf numFmtId="4" fontId="65" fillId="0" borderId="94" xfId="3" applyNumberFormat="1" applyFont="1" applyBorder="1"/>
    <xf numFmtId="4" fontId="65" fillId="0" borderId="128" xfId="3" applyNumberFormat="1" applyFont="1" applyBorder="1"/>
    <xf numFmtId="4" fontId="65" fillId="0" borderId="161" xfId="3" applyNumberFormat="1" applyFont="1" applyBorder="1"/>
    <xf numFmtId="4" fontId="65" fillId="0" borderId="130" xfId="3" applyNumberFormat="1" applyFont="1" applyBorder="1"/>
    <xf numFmtId="4" fontId="1" fillId="0" borderId="128" xfId="5" applyNumberFormat="1" applyBorder="1"/>
    <xf numFmtId="4" fontId="70" fillId="0" borderId="115" xfId="5" applyNumberFormat="1" applyFont="1" applyBorder="1"/>
    <xf numFmtId="4" fontId="70" fillId="0" borderId="97" xfId="5" applyNumberFormat="1" applyFont="1" applyBorder="1"/>
    <xf numFmtId="4" fontId="13" fillId="0" borderId="92" xfId="0" applyNumberFormat="1" applyFont="1" applyBorder="1"/>
    <xf numFmtId="3" fontId="13" fillId="0" borderId="132" xfId="0" applyNumberFormat="1" applyFont="1" applyBorder="1"/>
    <xf numFmtId="4" fontId="13" fillId="0" borderId="91" xfId="0" applyNumberFormat="1" applyFont="1" applyBorder="1"/>
    <xf numFmtId="3" fontId="13" fillId="0" borderId="84" xfId="0" applyNumberFormat="1" applyFont="1" applyBorder="1"/>
    <xf numFmtId="4" fontId="65" fillId="0" borderId="159" xfId="3" applyNumberFormat="1" applyFont="1" applyBorder="1"/>
    <xf numFmtId="4" fontId="7" fillId="0" borderId="91" xfId="5" applyNumberFormat="1" applyFont="1" applyBorder="1"/>
    <xf numFmtId="4" fontId="1" fillId="0" borderId="88" xfId="5" applyNumberFormat="1" applyBorder="1"/>
    <xf numFmtId="4" fontId="65" fillId="0" borderId="146" xfId="3" applyNumberFormat="1" applyFont="1" applyBorder="1"/>
    <xf numFmtId="4" fontId="65" fillId="0" borderId="163" xfId="3" applyNumberFormat="1" applyFont="1" applyBorder="1"/>
    <xf numFmtId="4" fontId="65" fillId="0" borderId="166" xfId="3" applyNumberFormat="1" applyFont="1" applyBorder="1"/>
    <xf numFmtId="4" fontId="65" fillId="0" borderId="131" xfId="3" applyNumberFormat="1" applyFont="1" applyBorder="1"/>
    <xf numFmtId="4" fontId="7" fillId="0" borderId="132" xfId="5" applyNumberFormat="1" applyFont="1" applyBorder="1"/>
    <xf numFmtId="4" fontId="7" fillId="0" borderId="146" xfId="5" applyNumberFormat="1" applyFont="1" applyBorder="1"/>
    <xf numFmtId="4" fontId="7" fillId="0" borderId="163" xfId="5" applyNumberFormat="1" applyFont="1" applyBorder="1"/>
    <xf numFmtId="4" fontId="7" fillId="0" borderId="171" xfId="5" applyNumberFormat="1" applyFont="1" applyBorder="1"/>
    <xf numFmtId="4" fontId="76" fillId="0" borderId="128" xfId="0" applyNumberFormat="1" applyFont="1" applyBorder="1"/>
    <xf numFmtId="4" fontId="76" fillId="0" borderId="94" xfId="0" applyNumberFormat="1" applyFont="1" applyBorder="1"/>
    <xf numFmtId="4" fontId="76" fillId="0" borderId="161" xfId="0" applyNumberFormat="1" applyFont="1" applyBorder="1"/>
    <xf numFmtId="4" fontId="76" fillId="0" borderId="87" xfId="0" applyNumberFormat="1" applyFont="1" applyBorder="1"/>
    <xf numFmtId="4" fontId="76" fillId="0" borderId="86" xfId="0" applyNumberFormat="1" applyFont="1" applyBorder="1"/>
    <xf numFmtId="4" fontId="76" fillId="0" borderId="95" xfId="0" applyNumberFormat="1" applyFont="1" applyBorder="1"/>
    <xf numFmtId="4" fontId="77" fillId="0" borderId="94" xfId="0" applyNumberFormat="1" applyFont="1" applyBorder="1"/>
    <xf numFmtId="4" fontId="77" fillId="0" borderId="128" xfId="0" applyNumberFormat="1" applyFont="1" applyBorder="1"/>
    <xf numFmtId="4" fontId="77" fillId="0" borderId="95" xfId="0" applyNumberFormat="1" applyFont="1" applyBorder="1"/>
    <xf numFmtId="4" fontId="13" fillId="0" borderId="86" xfId="0" applyNumberFormat="1" applyFont="1" applyBorder="1"/>
    <xf numFmtId="4" fontId="77" fillId="0" borderId="86" xfId="0" applyNumberFormat="1" applyFont="1" applyBorder="1"/>
    <xf numFmtId="4" fontId="77" fillId="0" borderId="87" xfId="0" applyNumberFormat="1" applyFont="1" applyBorder="1"/>
    <xf numFmtId="3" fontId="73" fillId="0" borderId="127" xfId="0" applyNumberFormat="1" applyFont="1" applyBorder="1" applyAlignment="1">
      <alignment horizontal="center" vertical="center" wrapText="1"/>
    </xf>
    <xf numFmtId="49" fontId="73" fillId="0" borderId="127" xfId="0" applyNumberFormat="1" applyFont="1" applyBorder="1" applyAlignment="1">
      <alignment horizontal="center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2" fillId="0" borderId="141" xfId="1" applyNumberFormat="1" applyFont="1" applyBorder="1" applyAlignment="1">
      <alignment horizontal="right"/>
    </xf>
    <xf numFmtId="4" fontId="2" fillId="0" borderId="175" xfId="1" applyNumberFormat="1" applyFont="1" applyBorder="1" applyAlignment="1">
      <alignment horizontal="right"/>
    </xf>
    <xf numFmtId="4" fontId="2" fillId="0" borderId="148" xfId="1" applyNumberFormat="1" applyFont="1" applyBorder="1" applyAlignment="1">
      <alignment horizontal="right"/>
    </xf>
    <xf numFmtId="4" fontId="1" fillId="0" borderId="147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6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7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0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0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8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2" fontId="1" fillId="0" borderId="0" xfId="1" applyNumberFormat="1"/>
    <xf numFmtId="4" fontId="31" fillId="0" borderId="144" xfId="3" applyNumberFormat="1" applyFont="1" applyBorder="1" applyAlignment="1">
      <alignment horizontal="right" vertical="center"/>
    </xf>
    <xf numFmtId="4" fontId="67" fillId="0" borderId="144" xfId="3" applyNumberFormat="1" applyFont="1" applyBorder="1"/>
    <xf numFmtId="4" fontId="65" fillId="0" borderId="65" xfId="3" applyNumberFormat="1" applyFont="1" applyBorder="1"/>
    <xf numFmtId="4" fontId="7" fillId="0" borderId="144" xfId="5" applyNumberFormat="1" applyFont="1" applyBorder="1"/>
    <xf numFmtId="4" fontId="65" fillId="0" borderId="144" xfId="3" applyNumberFormat="1" applyFont="1" applyBorder="1"/>
    <xf numFmtId="4" fontId="65" fillId="0" borderId="76" xfId="3" applyNumberFormat="1" applyFont="1" applyBorder="1"/>
    <xf numFmtId="4" fontId="76" fillId="0" borderId="144" xfId="0" applyNumberFormat="1" applyFont="1" applyBorder="1"/>
    <xf numFmtId="4" fontId="65" fillId="0" borderId="152" xfId="5" applyNumberFormat="1" applyFont="1" applyBorder="1" applyAlignment="1">
      <alignment horizontal="right" vertical="center" wrapText="1"/>
    </xf>
    <xf numFmtId="4" fontId="7" fillId="0" borderId="143" xfId="5" applyNumberFormat="1" applyFont="1" applyBorder="1" applyAlignment="1">
      <alignment horizontal="right" vertical="center" wrapText="1"/>
    </xf>
    <xf numFmtId="4" fontId="31" fillId="0" borderId="147" xfId="5" applyNumberFormat="1" applyFont="1" applyBorder="1" applyAlignment="1">
      <alignment horizontal="right" vertical="center" wrapText="1"/>
    </xf>
    <xf numFmtId="4" fontId="7" fillId="0" borderId="152" xfId="5" applyNumberFormat="1" applyFont="1" applyBorder="1" applyAlignment="1">
      <alignment horizontal="right" vertical="center" wrapText="1"/>
    </xf>
    <xf numFmtId="4" fontId="31" fillId="0" borderId="62" xfId="3" applyNumberFormat="1" applyFont="1" applyBorder="1" applyAlignment="1">
      <alignment vertical="center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9" xfId="3" applyNumberFormat="1" applyFont="1" applyBorder="1"/>
    <xf numFmtId="0" fontId="31" fillId="0" borderId="145" xfId="3" applyFont="1" applyBorder="1"/>
    <xf numFmtId="4" fontId="31" fillId="0" borderId="97" xfId="3" applyNumberFormat="1" applyFont="1" applyBorder="1"/>
    <xf numFmtId="4" fontId="65" fillId="0" borderId="143" xfId="3" applyNumberFormat="1" applyFont="1" applyBorder="1"/>
    <xf numFmtId="4" fontId="65" fillId="0" borderId="70" xfId="3" applyNumberFormat="1" applyFont="1" applyBorder="1"/>
    <xf numFmtId="4" fontId="1" fillId="0" borderId="172" xfId="5" applyNumberFormat="1" applyBorder="1"/>
    <xf numFmtId="4" fontId="1" fillId="0" borderId="99" xfId="5" applyNumberFormat="1" applyBorder="1"/>
    <xf numFmtId="4" fontId="1" fillId="0" borderId="160" xfId="5" applyNumberFormat="1" applyBorder="1"/>
    <xf numFmtId="4" fontId="13" fillId="0" borderId="99" xfId="0" applyNumberFormat="1" applyFont="1" applyBorder="1"/>
    <xf numFmtId="4" fontId="13" fillId="0" borderId="66" xfId="0" applyNumberFormat="1" applyFont="1" applyBorder="1"/>
    <xf numFmtId="4" fontId="13" fillId="0" borderId="160" xfId="0" applyNumberFormat="1" applyFont="1" applyBorder="1"/>
    <xf numFmtId="3" fontId="13" fillId="0" borderId="172" xfId="0" applyNumberFormat="1" applyFont="1" applyBorder="1"/>
    <xf numFmtId="4" fontId="13" fillId="0" borderId="172" xfId="0" applyNumberFormat="1" applyFont="1" applyBorder="1"/>
    <xf numFmtId="4" fontId="13" fillId="0" borderId="137" xfId="0" applyNumberFormat="1" applyFont="1" applyBorder="1"/>
    <xf numFmtId="4" fontId="1" fillId="0" borderId="87" xfId="5" applyNumberFormat="1" applyBorder="1"/>
    <xf numFmtId="4" fontId="13" fillId="0" borderId="156" xfId="0" applyNumberFormat="1" applyFont="1" applyBorder="1"/>
    <xf numFmtId="4" fontId="13" fillId="0" borderId="75" xfId="0" applyNumberFormat="1" applyFont="1" applyBorder="1"/>
    <xf numFmtId="4" fontId="13" fillId="0" borderId="88" xfId="0" applyNumberFormat="1" applyFont="1" applyBorder="1"/>
    <xf numFmtId="3" fontId="13" fillId="0" borderId="85" xfId="0" applyNumberFormat="1" applyFont="1" applyBorder="1"/>
    <xf numFmtId="4" fontId="65" fillId="0" borderId="146" xfId="0" applyNumberFormat="1" applyFont="1" applyBorder="1"/>
    <xf numFmtId="4" fontId="65" fillId="0" borderId="163" xfId="0" applyNumberFormat="1" applyFont="1" applyBorder="1"/>
    <xf numFmtId="4" fontId="65" fillId="0" borderId="166" xfId="0" applyNumberFormat="1" applyFont="1" applyBorder="1"/>
    <xf numFmtId="4" fontId="65" fillId="0" borderId="76" xfId="0" applyNumberFormat="1" applyFont="1" applyBorder="1"/>
    <xf numFmtId="4" fontId="65" fillId="0" borderId="131" xfId="0" applyNumberFormat="1" applyFont="1" applyBorder="1"/>
    <xf numFmtId="4" fontId="65" fillId="0" borderId="86" xfId="0" applyNumberFormat="1" applyFont="1" applyBorder="1"/>
    <xf numFmtId="4" fontId="65" fillId="0" borderId="94" xfId="0" applyNumberFormat="1" applyFont="1" applyBorder="1"/>
    <xf numFmtId="4" fontId="65" fillId="0" borderId="128" xfId="0" applyNumberFormat="1" applyFont="1" applyBorder="1"/>
    <xf numFmtId="4" fontId="65" fillId="0" borderId="95" xfId="0" applyNumberFormat="1" applyFont="1" applyBorder="1"/>
    <xf numFmtId="4" fontId="14" fillId="0" borderId="0" xfId="0" applyNumberFormat="1" applyFont="1"/>
    <xf numFmtId="4" fontId="1" fillId="0" borderId="143" xfId="1" applyNumberFormat="1" applyBorder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91" xfId="0" applyFont="1" applyBorder="1"/>
    <xf numFmtId="3" fontId="80" fillId="0" borderId="101" xfId="0" applyNumberFormat="1" applyFont="1" applyBorder="1"/>
    <xf numFmtId="0" fontId="80" fillId="0" borderId="125" xfId="0" applyFont="1" applyBorder="1"/>
    <xf numFmtId="4" fontId="20" fillId="0" borderId="0" xfId="0" applyNumberFormat="1" applyFont="1" applyAlignment="1">
      <alignment horizontal="right"/>
    </xf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0" fontId="68" fillId="0" borderId="149" xfId="0" applyFont="1" applyBorder="1"/>
    <xf numFmtId="0" fontId="68" fillId="0" borderId="78" xfId="0" applyFont="1" applyBorder="1"/>
    <xf numFmtId="0" fontId="68" fillId="0" borderId="145" xfId="0" applyFont="1" applyBorder="1"/>
    <xf numFmtId="0" fontId="68" fillId="0" borderId="123" xfId="0" applyFont="1" applyBorder="1"/>
    <xf numFmtId="4" fontId="68" fillId="0" borderId="151" xfId="0" applyNumberFormat="1" applyFont="1" applyBorder="1"/>
    <xf numFmtId="4" fontId="68" fillId="0" borderId="63" xfId="0" applyNumberFormat="1" applyFont="1" applyBorder="1"/>
    <xf numFmtId="4" fontId="68" fillId="0" borderId="65" xfId="0" applyNumberFormat="1" applyFont="1" applyBorder="1"/>
    <xf numFmtId="4" fontId="7" fillId="0" borderId="94" xfId="3" applyNumberFormat="1" applyFont="1" applyBorder="1"/>
    <xf numFmtId="4" fontId="7" fillId="0" borderId="128" xfId="3" applyNumberFormat="1" applyFont="1" applyBorder="1"/>
    <xf numFmtId="4" fontId="7" fillId="0" borderId="87" xfId="3" applyNumberFormat="1" applyFont="1" applyBorder="1"/>
    <xf numFmtId="4" fontId="7" fillId="0" borderId="86" xfId="0" applyNumberFormat="1" applyFont="1" applyBorder="1"/>
    <xf numFmtId="4" fontId="7" fillId="0" borderId="87" xfId="0" applyNumberFormat="1" applyFont="1" applyBorder="1"/>
    <xf numFmtId="4" fontId="7" fillId="0" borderId="94" xfId="0" applyNumberFormat="1" applyFont="1" applyBorder="1"/>
    <xf numFmtId="4" fontId="7" fillId="0" borderId="128" xfId="0" applyNumberFormat="1" applyFont="1" applyBorder="1"/>
    <xf numFmtId="4" fontId="7" fillId="0" borderId="161" xfId="0" applyNumberFormat="1" applyFont="1" applyBorder="1"/>
    <xf numFmtId="4" fontId="81" fillId="0" borderId="84" xfId="0" applyNumberFormat="1" applyFont="1" applyBorder="1"/>
    <xf numFmtId="4" fontId="83" fillId="0" borderId="86" xfId="0" applyNumberFormat="1" applyFont="1" applyBorder="1"/>
    <xf numFmtId="0" fontId="0" fillId="0" borderId="7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4" fontId="0" fillId="0" borderId="56" xfId="0" applyNumberFormat="1" applyBorder="1" applyAlignment="1">
      <alignment horizontal="center" vertical="center" wrapText="1"/>
    </xf>
    <xf numFmtId="49" fontId="0" fillId="0" borderId="78" xfId="0" applyNumberFormat="1" applyBorder="1" applyAlignment="1">
      <alignment horizontal="center" vertical="center" wrapText="1"/>
    </xf>
    <xf numFmtId="4" fontId="0" fillId="0" borderId="125" xfId="0" applyNumberFormat="1" applyBorder="1" applyAlignment="1">
      <alignment horizontal="center" vertical="center"/>
    </xf>
    <xf numFmtId="4" fontId="0" fillId="0" borderId="115" xfId="0" applyNumberForma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4" fontId="13" fillId="0" borderId="72" xfId="0" applyNumberFormat="1" applyFont="1" applyBorder="1"/>
    <xf numFmtId="4" fontId="13" fillId="0" borderId="64" xfId="0" applyNumberFormat="1" applyFont="1" applyBorder="1"/>
    <xf numFmtId="0" fontId="0" fillId="0" borderId="97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14" fontId="0" fillId="0" borderId="98" xfId="0" applyNumberForma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164" fontId="13" fillId="0" borderId="151" xfId="0" applyNumberFormat="1" applyFont="1" applyBorder="1" applyAlignment="1">
      <alignment horizontal="center" vertical="center" wrapText="1"/>
    </xf>
    <xf numFmtId="0" fontId="86" fillId="0" borderId="98" xfId="0" applyFon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" fontId="13" fillId="0" borderId="97" xfId="0" applyNumberFormat="1" applyFont="1" applyBorder="1"/>
    <xf numFmtId="4" fontId="13" fillId="0" borderId="124" xfId="0" applyNumberFormat="1" applyFont="1" applyBorder="1"/>
    <xf numFmtId="0" fontId="0" fillId="0" borderId="9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14" fontId="0" fillId="0" borderId="66" xfId="0" applyNumberFormat="1" applyBorder="1" applyAlignment="1">
      <alignment horizontal="center" vertical="center" wrapText="1"/>
    </xf>
    <xf numFmtId="49" fontId="0" fillId="0" borderId="145" xfId="0" applyNumberFormat="1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4" fontId="0" fillId="0" borderId="56" xfId="0" applyNumberFormat="1" applyBorder="1" applyAlignment="1">
      <alignment horizontal="center" vertical="center" wrapText="1"/>
    </xf>
    <xf numFmtId="49" fontId="0" fillId="0" borderId="158" xfId="0" applyNumberFormat="1" applyBorder="1" applyAlignment="1">
      <alignment horizontal="center" vertical="center" wrapText="1"/>
    </xf>
    <xf numFmtId="164" fontId="15" fillId="0" borderId="63" xfId="0" applyNumberFormat="1" applyFont="1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4" fontId="0" fillId="0" borderId="75" xfId="0" applyNumberFormat="1" applyBorder="1" applyAlignment="1">
      <alignment horizontal="center" vertical="center" wrapText="1"/>
    </xf>
    <xf numFmtId="14" fontId="0" fillId="0" borderId="7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84" xfId="0" applyNumberFormat="1" applyBorder="1" applyAlignment="1">
      <alignment horizontal="center" vertical="center"/>
    </xf>
    <xf numFmtId="164" fontId="15" fillId="0" borderId="74" xfId="0" applyNumberFormat="1" applyFont="1" applyBorder="1" applyAlignment="1">
      <alignment horizontal="center" vertical="center" wrapText="1"/>
    </xf>
    <xf numFmtId="0" fontId="86" fillId="0" borderId="7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59" fillId="0" borderId="86" xfId="0" applyNumberFormat="1" applyFont="1" applyBorder="1" applyAlignment="1">
      <alignment horizontal="center"/>
    </xf>
    <xf numFmtId="0" fontId="0" fillId="0" borderId="130" xfId="0" applyBorder="1" applyAlignment="1">
      <alignment horizontal="left" vertical="center"/>
    </xf>
    <xf numFmtId="49" fontId="13" fillId="0" borderId="158" xfId="0" applyNumberFormat="1" applyFont="1" applyBorder="1" applyAlignment="1">
      <alignment horizontal="center" vertical="center" wrapText="1"/>
    </xf>
    <xf numFmtId="164" fontId="86" fillId="0" borderId="63" xfId="0" applyNumberFormat="1" applyFont="1" applyBorder="1" applyAlignment="1">
      <alignment horizontal="center" vertical="center" wrapText="1"/>
    </xf>
    <xf numFmtId="4" fontId="0" fillId="0" borderId="0" xfId="0" applyNumberFormat="1"/>
    <xf numFmtId="49" fontId="68" fillId="0" borderId="97" xfId="3" applyNumberFormat="1" applyFont="1" applyBorder="1"/>
    <xf numFmtId="0" fontId="31" fillId="0" borderId="149" xfId="3" applyFont="1" applyBorder="1"/>
    <xf numFmtId="4" fontId="31" fillId="0" borderId="98" xfId="3" applyNumberFormat="1" applyFont="1" applyBorder="1" applyAlignment="1">
      <alignment horizontal="right"/>
    </xf>
    <xf numFmtId="4" fontId="65" fillId="0" borderId="62" xfId="3" applyNumberFormat="1" applyFont="1" applyBorder="1"/>
    <xf numFmtId="4" fontId="1" fillId="0" borderId="115" xfId="5" applyNumberFormat="1" applyBorder="1"/>
    <xf numFmtId="4" fontId="1" fillId="0" borderId="97" xfId="5" applyNumberFormat="1" applyBorder="1"/>
    <xf numFmtId="4" fontId="68" fillId="0" borderId="61" xfId="3" applyNumberFormat="1" applyFont="1" applyBorder="1"/>
    <xf numFmtId="4" fontId="1" fillId="0" borderId="162" xfId="5" applyNumberFormat="1" applyBorder="1"/>
    <xf numFmtId="4" fontId="70" fillId="0" borderId="63" xfId="0" applyNumberFormat="1" applyFont="1" applyBorder="1"/>
    <xf numFmtId="4" fontId="70" fillId="0" borderId="56" xfId="0" applyNumberFormat="1" applyFont="1" applyBorder="1"/>
    <xf numFmtId="3" fontId="1" fillId="0" borderId="115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4" fontId="31" fillId="0" borderId="56" xfId="3" applyNumberFormat="1" applyFont="1" applyBorder="1" applyAlignment="1">
      <alignment horizontal="right"/>
    </xf>
    <xf numFmtId="4" fontId="1" fillId="0" borderId="125" xfId="5" applyNumberFormat="1" applyBorder="1"/>
    <xf numFmtId="4" fontId="1" fillId="0" borderId="72" xfId="5" applyNumberFormat="1" applyBorder="1"/>
    <xf numFmtId="4" fontId="68" fillId="0" borderId="56" xfId="3" applyNumberFormat="1" applyFont="1" applyBorder="1"/>
    <xf numFmtId="4" fontId="1" fillId="0" borderId="137" xfId="5" applyNumberFormat="1" applyBorder="1"/>
    <xf numFmtId="3" fontId="1" fillId="0" borderId="125" xfId="5" applyNumberFormat="1" applyBorder="1"/>
    <xf numFmtId="4" fontId="7" fillId="0" borderId="125" xfId="3" applyNumberFormat="1" applyFont="1" applyBorder="1"/>
    <xf numFmtId="4" fontId="70" fillId="0" borderId="77" xfId="0" applyNumberFormat="1" applyFont="1" applyBorder="1"/>
    <xf numFmtId="4" fontId="68" fillId="0" borderId="98" xfId="3" applyNumberFormat="1" applyFont="1" applyBorder="1"/>
    <xf numFmtId="4" fontId="70" fillId="0" borderId="69" xfId="0" applyNumberFormat="1" applyFont="1" applyBorder="1"/>
    <xf numFmtId="3" fontId="1" fillId="0" borderId="127" xfId="5" applyNumberFormat="1" applyBorder="1"/>
    <xf numFmtId="3" fontId="1" fillId="0" borderId="85" xfId="5" applyNumberFormat="1" applyBorder="1"/>
    <xf numFmtId="4" fontId="1" fillId="0" borderId="85" xfId="5" applyNumberFormat="1" applyBorder="1"/>
    <xf numFmtId="4" fontId="70" fillId="0" borderId="61" xfId="3" applyNumberFormat="1" applyFont="1" applyBorder="1" applyAlignment="1">
      <alignment horizontal="right"/>
    </xf>
    <xf numFmtId="4" fontId="65" fillId="0" borderId="122" xfId="3" applyNumberFormat="1" applyFont="1" applyBorder="1"/>
    <xf numFmtId="4" fontId="65" fillId="0" borderId="71" xfId="3" applyNumberFormat="1" applyFont="1" applyBorder="1"/>
    <xf numFmtId="4" fontId="1" fillId="0" borderId="136" xfId="5" applyNumberFormat="1" applyBorder="1"/>
    <xf numFmtId="3" fontId="1" fillId="0" borderId="164" xfId="5" applyNumberFormat="1" applyBorder="1"/>
    <xf numFmtId="4" fontId="13" fillId="0" borderId="127" xfId="0" applyNumberFormat="1" applyFont="1" applyBorder="1"/>
    <xf numFmtId="4" fontId="70" fillId="0" borderId="56" xfId="3" applyNumberFormat="1" applyFont="1" applyBorder="1" applyAlignment="1">
      <alignment horizontal="right"/>
    </xf>
    <xf numFmtId="3" fontId="13" fillId="0" borderId="133" xfId="0" applyNumberFormat="1" applyFont="1" applyBorder="1"/>
    <xf numFmtId="3" fontId="13" fillId="0" borderId="125" xfId="0" applyNumberFormat="1" applyFont="1" applyBorder="1"/>
    <xf numFmtId="4" fontId="13" fillId="0" borderId="73" xfId="0" applyNumberFormat="1" applyFont="1" applyBorder="1"/>
    <xf numFmtId="4" fontId="13" fillId="0" borderId="69" xfId="0" applyNumberFormat="1" applyFont="1" applyBorder="1"/>
    <xf numFmtId="4" fontId="13" fillId="0" borderId="138" xfId="0" applyNumberFormat="1" applyFont="1" applyBorder="1"/>
    <xf numFmtId="3" fontId="13" fillId="0" borderId="168" xfId="0" applyNumberFormat="1" applyFont="1" applyBorder="1"/>
    <xf numFmtId="3" fontId="13" fillId="0" borderId="126" xfId="0" applyNumberFormat="1" applyFont="1" applyBorder="1"/>
    <xf numFmtId="4" fontId="65" fillId="0" borderId="161" xfId="0" applyNumberFormat="1" applyFont="1" applyBorder="1"/>
    <xf numFmtId="4" fontId="65" fillId="0" borderId="144" xfId="0" applyNumberFormat="1" applyFont="1" applyBorder="1"/>
    <xf numFmtId="4" fontId="7" fillId="0" borderId="156" xfId="0" applyNumberFormat="1" applyFont="1" applyBorder="1"/>
    <xf numFmtId="4" fontId="7" fillId="0" borderId="75" xfId="0" applyNumberFormat="1" applyFont="1" applyBorder="1"/>
    <xf numFmtId="4" fontId="7" fillId="0" borderId="157" xfId="0" applyNumberFormat="1" applyFont="1" applyBorder="1"/>
    <xf numFmtId="0" fontId="55" fillId="0" borderId="1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100" xfId="1" applyNumberFormat="1" applyFont="1" applyBorder="1" applyAlignment="1">
      <alignment horizontal="center" wrapText="1"/>
    </xf>
    <xf numFmtId="3" fontId="46" fillId="0" borderId="131" xfId="1" applyNumberFormat="1" applyFont="1" applyBorder="1" applyAlignment="1">
      <alignment horizontal="center" wrapText="1"/>
    </xf>
    <xf numFmtId="3" fontId="46" fillId="0" borderId="92" xfId="1" applyNumberFormat="1" applyFont="1" applyBorder="1" applyAlignment="1">
      <alignment horizontal="center" wrapText="1"/>
    </xf>
    <xf numFmtId="3" fontId="46" fillId="0" borderId="134" xfId="1" applyNumberFormat="1" applyFont="1" applyBorder="1" applyAlignment="1">
      <alignment horizontal="center" wrapText="1"/>
    </xf>
    <xf numFmtId="3" fontId="46" fillId="0" borderId="46" xfId="1" applyNumberFormat="1" applyFont="1" applyBorder="1" applyAlignment="1">
      <alignment horizontal="center" wrapText="1"/>
    </xf>
    <xf numFmtId="3" fontId="46" fillId="0" borderId="135" xfId="1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0" fillId="0" borderId="129" xfId="0" applyFont="1" applyBorder="1" applyAlignment="1">
      <alignment horizont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61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6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122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wrapText="1"/>
    </xf>
    <xf numFmtId="0" fontId="7" fillId="0" borderId="123" xfId="0" applyFont="1" applyBorder="1" applyAlignment="1">
      <alignment horizontal="center" wrapText="1"/>
    </xf>
    <xf numFmtId="0" fontId="7" fillId="0" borderId="146" xfId="0" applyFont="1" applyBorder="1" applyAlignment="1">
      <alignment horizontal="center" vertical="center" wrapText="1"/>
    </xf>
    <xf numFmtId="0" fontId="7" fillId="0" borderId="147" xfId="0" applyFont="1" applyBorder="1" applyAlignment="1">
      <alignment horizontal="center" vertical="center" wrapText="1"/>
    </xf>
    <xf numFmtId="0" fontId="7" fillId="0" borderId="156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52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 wrapText="1"/>
    </xf>
    <xf numFmtId="0" fontId="6" fillId="0" borderId="114" xfId="0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4" fontId="0" fillId="0" borderId="130" xfId="0" applyNumberFormat="1" applyBorder="1" applyAlignment="1">
      <alignment horizontal="right" vertical="center"/>
    </xf>
    <xf numFmtId="0" fontId="7" fillId="0" borderId="78" xfId="0" applyFont="1" applyBorder="1" applyAlignment="1">
      <alignment horizontal="center"/>
    </xf>
    <xf numFmtId="0" fontId="7" fillId="0" borderId="123" xfId="0" applyFont="1" applyBorder="1" applyAlignment="1">
      <alignment horizontal="center"/>
    </xf>
    <xf numFmtId="4" fontId="7" fillId="0" borderId="127" xfId="0" applyNumberFormat="1" applyFont="1" applyBorder="1" applyAlignment="1">
      <alignment horizontal="center" vertical="center" wrapText="1"/>
    </xf>
    <xf numFmtId="4" fontId="7" fillId="0" borderId="125" xfId="0" applyNumberFormat="1" applyFont="1" applyBorder="1" applyAlignment="1">
      <alignment horizontal="center"/>
    </xf>
    <xf numFmtId="4" fontId="7" fillId="0" borderId="126" xfId="0" applyNumberFormat="1" applyFont="1" applyBorder="1" applyAlignment="1">
      <alignment horizontal="center"/>
    </xf>
    <xf numFmtId="0" fontId="0" fillId="0" borderId="97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149" xfId="0" applyBorder="1" applyAlignment="1">
      <alignment horizontal="left"/>
    </xf>
    <xf numFmtId="4" fontId="0" fillId="0" borderId="133" xfId="0" applyNumberFormat="1" applyBorder="1" applyAlignment="1">
      <alignment horizontal="center"/>
    </xf>
    <xf numFmtId="4" fontId="0" fillId="0" borderId="137" xfId="0" applyNumberFormat="1" applyBorder="1" applyAlignment="1">
      <alignment horizontal="center"/>
    </xf>
    <xf numFmtId="0" fontId="0" fillId="0" borderId="72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133" xfId="0" applyBorder="1" applyAlignment="1">
      <alignment horizontal="left" vertical="center" wrapText="1"/>
    </xf>
    <xf numFmtId="0" fontId="0" fillId="0" borderId="158" xfId="0" applyBorder="1" applyAlignment="1">
      <alignment horizontal="left" vertical="center" wrapText="1"/>
    </xf>
    <xf numFmtId="0" fontId="0" fillId="0" borderId="137" xfId="0" applyBorder="1" applyAlignment="1">
      <alignment horizontal="left" vertical="center" wrapText="1"/>
    </xf>
    <xf numFmtId="0" fontId="87" fillId="15" borderId="72" xfId="0" applyFont="1" applyFill="1" applyBorder="1" applyAlignment="1">
      <alignment horizontal="left"/>
    </xf>
    <xf numFmtId="0" fontId="87" fillId="15" borderId="56" xfId="0" applyFont="1" applyFill="1" applyBorder="1" applyAlignment="1">
      <alignment horizontal="left"/>
    </xf>
    <xf numFmtId="0" fontId="87" fillId="15" borderId="78" xfId="0" applyFont="1" applyFill="1" applyBorder="1" applyAlignment="1">
      <alignment horizontal="left"/>
    </xf>
    <xf numFmtId="10" fontId="72" fillId="15" borderId="72" xfId="0" applyNumberFormat="1" applyFont="1" applyFill="1" applyBorder="1" applyAlignment="1">
      <alignment horizontal="center"/>
    </xf>
    <xf numFmtId="10" fontId="72" fillId="15" borderId="64" xfId="0" applyNumberFormat="1" applyFont="1" applyFill="1" applyBorder="1" applyAlignment="1">
      <alignment horizontal="center"/>
    </xf>
    <xf numFmtId="0" fontId="60" fillId="15" borderId="72" xfId="0" applyFont="1" applyFill="1" applyBorder="1" applyAlignment="1">
      <alignment horizontal="left" vertical="center" wrapText="1"/>
    </xf>
    <xf numFmtId="0" fontId="60" fillId="15" borderId="56" xfId="0" applyFont="1" applyFill="1" applyBorder="1" applyAlignment="1">
      <alignment horizontal="left" vertical="center" wrapText="1"/>
    </xf>
    <xf numFmtId="0" fontId="60" fillId="15" borderId="78" xfId="0" applyFont="1" applyFill="1" applyBorder="1" applyAlignment="1">
      <alignment horizontal="left" vertical="center" wrapText="1"/>
    </xf>
    <xf numFmtId="4" fontId="73" fillId="0" borderId="114" xfId="0" applyNumberFormat="1" applyFont="1" applyBorder="1" applyAlignment="1">
      <alignment horizontal="center"/>
    </xf>
    <xf numFmtId="4" fontId="73" fillId="0" borderId="130" xfId="0" applyNumberFormat="1" applyFont="1" applyBorder="1" applyAlignment="1">
      <alignment horizontal="center"/>
    </xf>
    <xf numFmtId="4" fontId="73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4" fontId="77" fillId="0" borderId="94" xfId="0" applyNumberFormat="1" applyFont="1" applyBorder="1" applyAlignment="1">
      <alignment horizontal="center"/>
    </xf>
    <xf numFmtId="4" fontId="77" fillId="0" borderId="130" xfId="0" applyNumberFormat="1" applyFont="1" applyBorder="1" applyAlignment="1">
      <alignment horizontal="center"/>
    </xf>
    <xf numFmtId="4" fontId="77" fillId="0" borderId="161" xfId="0" applyNumberFormat="1" applyFont="1" applyBorder="1" applyAlignment="1">
      <alignment horizontal="center"/>
    </xf>
    <xf numFmtId="4" fontId="77" fillId="0" borderId="114" xfId="0" applyNumberFormat="1" applyFont="1" applyBorder="1" applyAlignment="1">
      <alignment horizontal="center"/>
    </xf>
    <xf numFmtId="4" fontId="77" fillId="0" borderId="87" xfId="0" applyNumberFormat="1" applyFont="1" applyBorder="1" applyAlignment="1">
      <alignment horizontal="center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4" fontId="76" fillId="0" borderId="94" xfId="0" applyNumberFormat="1" applyFont="1" applyBorder="1" applyAlignment="1">
      <alignment horizontal="center"/>
    </xf>
    <xf numFmtId="4" fontId="76" fillId="0" borderId="130" xfId="0" applyNumberFormat="1" applyFont="1" applyBorder="1" applyAlignment="1">
      <alignment horizontal="center"/>
    </xf>
    <xf numFmtId="4" fontId="76" fillId="0" borderId="161" xfId="0" applyNumberFormat="1" applyFont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4" fontId="31" fillId="0" borderId="146" xfId="5" applyNumberFormat="1" applyFont="1" applyBorder="1" applyAlignment="1">
      <alignment horizontal="center" vertical="center" wrapText="1"/>
    </xf>
    <xf numFmtId="4" fontId="31" fillId="0" borderId="147" xfId="5" applyNumberFormat="1" applyFont="1" applyBorder="1" applyAlignment="1">
      <alignment horizontal="center" vertical="center" wrapText="1"/>
    </xf>
    <xf numFmtId="4" fontId="31" fillId="0" borderId="156" xfId="5" applyNumberFormat="1" applyFont="1" applyBorder="1" applyAlignment="1">
      <alignment horizontal="center" vertical="center" wrapText="1"/>
    </xf>
    <xf numFmtId="4" fontId="31" fillId="0" borderId="163" xfId="3" applyNumberFormat="1" applyFont="1" applyBorder="1" applyAlignment="1">
      <alignment horizontal="center" vertical="center"/>
    </xf>
    <xf numFmtId="4" fontId="31" fillId="0" borderId="77" xfId="3" applyNumberFormat="1" applyFont="1" applyBorder="1" applyAlignment="1">
      <alignment horizontal="center" vertical="center"/>
    </xf>
    <xf numFmtId="4" fontId="31" fillId="0" borderId="75" xfId="3" applyNumberFormat="1" applyFont="1" applyBorder="1" applyAlignment="1">
      <alignment horizontal="center" vertical="center"/>
    </xf>
    <xf numFmtId="4" fontId="73" fillId="0" borderId="99" xfId="3" applyNumberFormat="1" applyFont="1" applyBorder="1" applyAlignment="1">
      <alignment horizontal="center" vertical="center"/>
    </xf>
    <xf numFmtId="4" fontId="31" fillId="0" borderId="147" xfId="3" applyNumberFormat="1" applyFont="1" applyBorder="1" applyAlignment="1">
      <alignment horizontal="center" vertical="center"/>
    </xf>
    <xf numFmtId="4" fontId="31" fillId="0" borderId="156" xfId="3" applyNumberFormat="1" applyFont="1" applyBorder="1" applyAlignment="1">
      <alignment horizontal="center" vertical="center"/>
    </xf>
    <xf numFmtId="4" fontId="31" fillId="0" borderId="78" xfId="5" applyNumberFormat="1" applyFont="1" applyBorder="1" applyAlignment="1">
      <alignment horizontal="center"/>
    </xf>
    <xf numFmtId="4" fontId="31" fillId="0" borderId="137" xfId="5" applyNumberFormat="1" applyFont="1" applyBorder="1" applyAlignment="1">
      <alignment horizontal="center"/>
    </xf>
    <xf numFmtId="4" fontId="7" fillId="0" borderId="77" xfId="5" applyNumberFormat="1" applyFont="1" applyBorder="1" applyAlignment="1">
      <alignment horizontal="center" vertical="center" wrapText="1"/>
    </xf>
    <xf numFmtId="4" fontId="7" fillId="0" borderId="75" xfId="5" applyNumberFormat="1" applyFont="1" applyBorder="1" applyAlignment="1">
      <alignment horizontal="center" vertical="center" wrapText="1"/>
    </xf>
    <xf numFmtId="4" fontId="7" fillId="0" borderId="67" xfId="5" applyNumberFormat="1" applyFont="1" applyBorder="1" applyAlignment="1">
      <alignment horizontal="center" vertical="center" wrapText="1"/>
    </xf>
    <xf numFmtId="4" fontId="7" fillId="0" borderId="152" xfId="5" applyNumberFormat="1" applyFont="1" applyBorder="1" applyAlignment="1">
      <alignment horizontal="center" vertical="center" wrapText="1"/>
    </xf>
    <xf numFmtId="4" fontId="7" fillId="0" borderId="157" xfId="5" applyNumberFormat="1" applyFont="1" applyBorder="1" applyAlignment="1">
      <alignment horizontal="center" vertical="center" wrapText="1"/>
    </xf>
    <xf numFmtId="4" fontId="13" fillId="0" borderId="131" xfId="0" applyNumberFormat="1" applyFont="1" applyBorder="1" applyAlignment="1">
      <alignment horizontal="center"/>
    </xf>
    <xf numFmtId="4" fontId="31" fillId="0" borderId="67" xfId="5" applyNumberFormat="1" applyFont="1" applyBorder="1" applyAlignment="1">
      <alignment horizontal="center" vertical="center" wrapText="1"/>
    </xf>
    <xf numFmtId="4" fontId="31" fillId="0" borderId="152" xfId="5" applyNumberFormat="1" applyFont="1" applyBorder="1" applyAlignment="1">
      <alignment horizontal="center" vertical="center" wrapText="1"/>
    </xf>
    <xf numFmtId="4" fontId="31" fillId="0" borderId="157" xfId="5" applyNumberFormat="1" applyFont="1" applyBorder="1" applyAlignment="1">
      <alignment horizontal="center" vertical="center" wrapText="1"/>
    </xf>
    <xf numFmtId="4" fontId="65" fillId="0" borderId="66" xfId="5" applyNumberFormat="1" applyFont="1" applyBorder="1" applyAlignment="1">
      <alignment horizontal="center" vertical="center"/>
    </xf>
    <xf numFmtId="4" fontId="65" fillId="0" borderId="75" xfId="5" applyNumberFormat="1" applyFont="1" applyBorder="1" applyAlignment="1">
      <alignment horizontal="center" vertical="center"/>
    </xf>
    <xf numFmtId="4" fontId="65" fillId="0" borderId="67" xfId="5" applyNumberFormat="1" applyFont="1" applyBorder="1" applyAlignment="1">
      <alignment horizontal="center" vertical="center" wrapText="1"/>
    </xf>
    <xf numFmtId="4" fontId="65" fillId="0" borderId="157" xfId="5" applyNumberFormat="1" applyFont="1" applyBorder="1" applyAlignment="1">
      <alignment horizontal="center" vertical="center" wrapText="1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4" fontId="31" fillId="0" borderId="100" xfId="3" applyNumberFormat="1" applyFont="1" applyBorder="1" applyAlignment="1">
      <alignment horizontal="center" vertical="center"/>
    </xf>
    <xf numFmtId="4" fontId="31" fillId="0" borderId="131" xfId="3" applyNumberFormat="1" applyFont="1" applyBorder="1" applyAlignment="1">
      <alignment horizontal="center" vertical="center"/>
    </xf>
    <xf numFmtId="4" fontId="31" fillId="0" borderId="92" xfId="3" applyNumberFormat="1" applyFont="1" applyBorder="1" applyAlignment="1">
      <alignment horizontal="center" vertical="center"/>
    </xf>
    <xf numFmtId="4" fontId="31" fillId="0" borderId="92" xfId="3" applyNumberFormat="1" applyFont="1" applyBorder="1" applyAlignment="1">
      <alignment horizontal="center" vertical="center" wrapText="1"/>
    </xf>
    <xf numFmtId="4" fontId="31" fillId="0" borderId="91" xfId="3" applyNumberFormat="1" applyFont="1" applyBorder="1" applyAlignment="1">
      <alignment horizontal="center" vertical="center" wrapText="1"/>
    </xf>
    <xf numFmtId="4" fontId="31" fillId="0" borderId="88" xfId="3" applyNumberFormat="1" applyFont="1" applyBorder="1" applyAlignment="1">
      <alignment horizontal="center" vertical="center" wrapText="1"/>
    </xf>
    <xf numFmtId="4" fontId="64" fillId="0" borderId="100" xfId="5" applyNumberFormat="1" applyFont="1" applyBorder="1" applyAlignment="1">
      <alignment horizontal="center" vertical="center" wrapText="1"/>
    </xf>
    <xf numFmtId="4" fontId="64" fillId="0" borderId="131" xfId="5" applyNumberFormat="1" applyFont="1" applyBorder="1" applyAlignment="1">
      <alignment horizontal="center" vertical="center" wrapText="1"/>
    </xf>
    <xf numFmtId="4" fontId="64" fillId="0" borderId="92" xfId="5" applyNumberFormat="1" applyFont="1" applyBorder="1" applyAlignment="1">
      <alignment horizontal="center" vertical="center" wrapText="1"/>
    </xf>
    <xf numFmtId="4" fontId="64" fillId="0" borderId="167" xfId="5" applyNumberFormat="1" applyFont="1" applyBorder="1" applyAlignment="1">
      <alignment horizontal="center" vertical="center" wrapText="1"/>
    </xf>
    <xf numFmtId="4" fontId="64" fillId="0" borderId="0" xfId="5" applyNumberFormat="1" applyFont="1" applyAlignment="1">
      <alignment horizontal="center" vertical="center" wrapText="1"/>
    </xf>
    <xf numFmtId="4" fontId="64" fillId="0" borderId="91" xfId="5" applyNumberFormat="1" applyFont="1" applyBorder="1" applyAlignment="1">
      <alignment horizontal="center" vertical="center" wrapText="1"/>
    </xf>
    <xf numFmtId="3" fontId="73" fillId="0" borderId="100" xfId="0" applyNumberFormat="1" applyFont="1" applyBorder="1" applyAlignment="1">
      <alignment horizontal="center" vertical="center" wrapText="1"/>
    </xf>
    <xf numFmtId="3" fontId="73" fillId="0" borderId="131" xfId="0" applyNumberFormat="1" applyFont="1" applyBorder="1" applyAlignment="1">
      <alignment horizontal="center" vertical="center" wrapText="1"/>
    </xf>
    <xf numFmtId="3" fontId="73" fillId="0" borderId="92" xfId="0" applyNumberFormat="1" applyFont="1" applyBorder="1" applyAlignment="1">
      <alignment horizontal="center" vertical="center" wrapText="1"/>
    </xf>
    <xf numFmtId="3" fontId="73" fillId="0" borderId="167" xfId="0" applyNumberFormat="1" applyFont="1" applyBorder="1" applyAlignment="1">
      <alignment horizontal="center" vertical="center" wrapText="1"/>
    </xf>
    <xf numFmtId="3" fontId="73" fillId="0" borderId="0" xfId="0" applyNumberFormat="1" applyFont="1" applyAlignment="1">
      <alignment horizontal="center" vertical="center" wrapText="1"/>
    </xf>
    <xf numFmtId="3" fontId="73" fillId="0" borderId="91" xfId="0" applyNumberFormat="1" applyFont="1" applyBorder="1" applyAlignment="1">
      <alignment horizontal="center" vertical="center" wrapText="1"/>
    </xf>
    <xf numFmtId="3" fontId="73" fillId="0" borderId="101" xfId="0" applyNumberFormat="1" applyFont="1" applyBorder="1" applyAlignment="1">
      <alignment horizontal="center" vertical="center" wrapText="1"/>
    </xf>
    <xf numFmtId="3" fontId="73" fillId="0" borderId="129" xfId="0" applyNumberFormat="1" applyFont="1" applyBorder="1" applyAlignment="1">
      <alignment horizontal="center" vertical="center" wrapText="1"/>
    </xf>
    <xf numFmtId="3" fontId="73" fillId="0" borderId="88" xfId="0" applyNumberFormat="1" applyFont="1" applyBorder="1" applyAlignment="1">
      <alignment horizontal="center" vertical="center" wrapText="1"/>
    </xf>
    <xf numFmtId="4" fontId="31" fillId="0" borderId="164" xfId="3" applyNumberFormat="1" applyFont="1" applyBorder="1" applyAlignment="1">
      <alignment horizontal="center" vertical="center"/>
    </xf>
    <xf numFmtId="4" fontId="31" fillId="0" borderId="165" xfId="3" applyNumberFormat="1" applyFont="1" applyBorder="1" applyAlignment="1">
      <alignment horizontal="center" vertical="center"/>
    </xf>
    <xf numFmtId="4" fontId="31" fillId="0" borderId="136" xfId="3" applyNumberFormat="1" applyFont="1" applyBorder="1" applyAlignment="1">
      <alignment horizontal="center" vertical="center"/>
    </xf>
    <xf numFmtId="4" fontId="31" fillId="0" borderId="164" xfId="5" applyNumberFormat="1" applyFont="1" applyBorder="1" applyAlignment="1">
      <alignment horizontal="center"/>
    </xf>
    <xf numFmtId="4" fontId="31" fillId="0" borderId="165" xfId="5" applyNumberFormat="1" applyFont="1" applyBorder="1" applyAlignment="1">
      <alignment horizontal="center"/>
    </xf>
    <xf numFmtId="4" fontId="31" fillId="0" borderId="136" xfId="5" applyNumberFormat="1" applyFont="1" applyBorder="1" applyAlignment="1">
      <alignment horizontal="center"/>
    </xf>
    <xf numFmtId="4" fontId="21" fillId="0" borderId="164" xfId="5" applyNumberFormat="1" applyFont="1" applyBorder="1" applyAlignment="1">
      <alignment horizontal="center" vertical="center" wrapText="1"/>
    </xf>
    <xf numFmtId="4" fontId="21" fillId="0" borderId="165" xfId="5" applyNumberFormat="1" applyFont="1" applyBorder="1" applyAlignment="1">
      <alignment horizontal="center" vertical="center" wrapText="1"/>
    </xf>
    <xf numFmtId="4" fontId="21" fillId="0" borderId="136" xfId="5" applyNumberFormat="1" applyFont="1" applyBorder="1" applyAlignment="1">
      <alignment horizontal="center" vertical="center" wrapText="1"/>
    </xf>
    <xf numFmtId="4" fontId="73" fillId="0" borderId="101" xfId="0" applyNumberFormat="1" applyFont="1" applyBorder="1" applyAlignment="1">
      <alignment horizontal="center" vertical="center" wrapText="1"/>
    </xf>
    <xf numFmtId="4" fontId="73" fillId="0" borderId="129" xfId="0" applyNumberFormat="1" applyFont="1" applyBorder="1" applyAlignment="1">
      <alignment horizontal="center" vertical="center" wrapText="1"/>
    </xf>
    <xf numFmtId="4" fontId="73" fillId="0" borderId="88" xfId="0" applyNumberFormat="1" applyFont="1" applyBorder="1" applyAlignment="1">
      <alignment horizontal="center" vertical="center" wrapText="1"/>
    </xf>
    <xf numFmtId="4" fontId="31" fillId="0" borderId="132" xfId="3" applyNumberFormat="1" applyFont="1" applyBorder="1" applyAlignment="1">
      <alignment horizontal="center" vertical="center" wrapText="1"/>
    </xf>
    <xf numFmtId="4" fontId="31" fillId="0" borderId="84" xfId="3" applyNumberFormat="1" applyFont="1" applyBorder="1" applyAlignment="1">
      <alignment horizontal="center" vertical="center" wrapText="1"/>
    </xf>
    <xf numFmtId="4" fontId="31" fillId="0" borderId="85" xfId="3" applyNumberFormat="1" applyFont="1" applyBorder="1" applyAlignment="1">
      <alignment horizontal="center" vertical="center" wrapText="1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3/Mesa&#269;n&#233;%20plnenie%202023/December%202023/tabu&#318;ky%20%20podrobn&#233;%20%202023.xlsx" TargetMode="External"/><Relationship Id="rId2" Type="http://schemas.openxmlformats.org/officeDocument/2006/relationships/externalLinkPath" Target="file:///C:\Users\kovacikova\Documents\Rok%202023\Mesa&#269;n&#233;%20plnenie%202023\December%202023\tabu&#318;ky%20%20podrobn&#233;%20%202023.xlsx" TargetMode="External"/><Relationship Id="rId1" Type="http://schemas.openxmlformats.org/officeDocument/2006/relationships/externalLinkPath" Target="/Users/kovacikova/Documents/Rok%202023/Mesa&#269;n&#233;%20plnenie%202023/December%202023/tabu&#318;ky%20%20podrobn&#233;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4/Mesa&#269;n&#233;%20plnenie%202024/December%202024/tabu&#318;ky%20%20podrobn&#233;%20%202024.xlsx" TargetMode="External"/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esa&#269;n&#233;%20plnenie%202025/December%202025/tabu&#318;ky%20%20podrobn&#233;%20%202025.xlsx" TargetMode="External"/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C5">
            <v>110777.61</v>
          </cell>
          <cell r="AD5">
            <v>0</v>
          </cell>
          <cell r="AE5">
            <v>0</v>
          </cell>
        </row>
        <row r="17">
          <cell r="AC17">
            <v>48329.929999999993</v>
          </cell>
          <cell r="AD17">
            <v>0</v>
          </cell>
          <cell r="AE17">
            <v>0</v>
          </cell>
        </row>
        <row r="28">
          <cell r="AC28">
            <v>85580.4</v>
          </cell>
          <cell r="AD28">
            <v>0</v>
          </cell>
          <cell r="AE28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41">
          <cell r="AC41">
            <v>17920.990000000002</v>
          </cell>
          <cell r="AD41">
            <v>0</v>
          </cell>
          <cell r="AE41">
            <v>0</v>
          </cell>
        </row>
        <row r="58">
          <cell r="AC58">
            <v>2100</v>
          </cell>
          <cell r="AD58">
            <v>0</v>
          </cell>
          <cell r="AE58">
            <v>0</v>
          </cell>
        </row>
        <row r="62">
          <cell r="AC62">
            <v>940</v>
          </cell>
          <cell r="AD62">
            <v>42935.4</v>
          </cell>
          <cell r="AE62">
            <v>0</v>
          </cell>
        </row>
        <row r="79">
          <cell r="AC79">
            <v>90960.98</v>
          </cell>
          <cell r="AD79">
            <v>0</v>
          </cell>
          <cell r="AE79">
            <v>0</v>
          </cell>
        </row>
        <row r="88">
          <cell r="AC88">
            <v>9048</v>
          </cell>
          <cell r="AD88">
            <v>0</v>
          </cell>
          <cell r="AE88">
            <v>0</v>
          </cell>
        </row>
        <row r="92">
          <cell r="AC92">
            <v>14024.529999999999</v>
          </cell>
          <cell r="AD92">
            <v>0</v>
          </cell>
          <cell r="AE92">
            <v>0</v>
          </cell>
        </row>
        <row r="95">
          <cell r="AC95">
            <v>0</v>
          </cell>
          <cell r="AD95">
            <v>0</v>
          </cell>
          <cell r="AE95">
            <v>0</v>
          </cell>
        </row>
      </sheetData>
      <sheetData sheetId="1">
        <row r="5">
          <cell r="AC5">
            <v>340.06</v>
          </cell>
          <cell r="AD5">
            <v>0</v>
          </cell>
          <cell r="AE5">
            <v>0</v>
          </cell>
        </row>
        <row r="7">
          <cell r="AC7">
            <v>3881.3</v>
          </cell>
          <cell r="AD7">
            <v>0</v>
          </cell>
          <cell r="AE7">
            <v>0</v>
          </cell>
        </row>
        <row r="12">
          <cell r="AC12">
            <v>11119.25</v>
          </cell>
          <cell r="AD12">
            <v>0</v>
          </cell>
          <cell r="AE12">
            <v>0</v>
          </cell>
        </row>
        <row r="20">
          <cell r="AC20">
            <v>0</v>
          </cell>
          <cell r="AD20">
            <v>0</v>
          </cell>
          <cell r="AE20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</row>
        <row r="25">
          <cell r="AC25">
            <v>0</v>
          </cell>
          <cell r="AD25">
            <v>0</v>
          </cell>
          <cell r="AE25">
            <v>0</v>
          </cell>
        </row>
        <row r="27">
          <cell r="AC27">
            <v>2208.2600000000002</v>
          </cell>
          <cell r="AD27">
            <v>0</v>
          </cell>
          <cell r="AE27">
            <v>0</v>
          </cell>
        </row>
        <row r="29">
          <cell r="AC29">
            <v>7000</v>
          </cell>
          <cell r="AD29">
            <v>0</v>
          </cell>
          <cell r="AE29">
            <v>0</v>
          </cell>
        </row>
        <row r="32">
          <cell r="AC32">
            <v>11793.94</v>
          </cell>
          <cell r="AD32">
            <v>0</v>
          </cell>
          <cell r="AE32">
            <v>0</v>
          </cell>
        </row>
        <row r="46">
          <cell r="AC46">
            <v>1070</v>
          </cell>
          <cell r="AD46">
            <v>0</v>
          </cell>
          <cell r="AE46">
            <v>0</v>
          </cell>
        </row>
        <row r="51">
          <cell r="AC51">
            <v>4412.71</v>
          </cell>
          <cell r="AD51">
            <v>0</v>
          </cell>
          <cell r="AE51">
            <v>0</v>
          </cell>
        </row>
      </sheetData>
      <sheetData sheetId="2">
        <row r="4">
          <cell r="AC4">
            <v>94599.6</v>
          </cell>
          <cell r="AD4">
            <v>138756</v>
          </cell>
          <cell r="AE4">
            <v>0</v>
          </cell>
        </row>
        <row r="22">
          <cell r="AC22">
            <v>222.33</v>
          </cell>
          <cell r="AD22">
            <v>0</v>
          </cell>
          <cell r="AE22">
            <v>0</v>
          </cell>
        </row>
        <row r="28">
          <cell r="AC28">
            <v>57</v>
          </cell>
          <cell r="AD28">
            <v>0</v>
          </cell>
          <cell r="AE28">
            <v>0</v>
          </cell>
        </row>
        <row r="33">
          <cell r="AC33">
            <v>7203.11</v>
          </cell>
          <cell r="AD33">
            <v>0</v>
          </cell>
          <cell r="AE33">
            <v>0</v>
          </cell>
        </row>
        <row r="36">
          <cell r="AC36">
            <v>194080.37</v>
          </cell>
          <cell r="AD36">
            <v>0</v>
          </cell>
          <cell r="AE36">
            <v>0</v>
          </cell>
        </row>
        <row r="92">
          <cell r="AC92">
            <v>266.5</v>
          </cell>
          <cell r="AD92">
            <v>0</v>
          </cell>
          <cell r="AE92">
            <v>0</v>
          </cell>
        </row>
        <row r="97">
          <cell r="AC97">
            <v>8604.35</v>
          </cell>
          <cell r="AD97">
            <v>0</v>
          </cell>
          <cell r="AE97">
            <v>0</v>
          </cell>
        </row>
        <row r="103">
          <cell r="AC103">
            <v>0</v>
          </cell>
          <cell r="AD103">
            <v>0</v>
          </cell>
          <cell r="AE103">
            <v>0</v>
          </cell>
        </row>
      </sheetData>
      <sheetData sheetId="3">
        <row r="4">
          <cell r="AC4">
            <v>21328.589999999997</v>
          </cell>
          <cell r="AD4">
            <v>0</v>
          </cell>
          <cell r="AE4">
            <v>0</v>
          </cell>
        </row>
        <row r="17">
          <cell r="AC17">
            <v>30523.410000000003</v>
          </cell>
          <cell r="AD17">
            <v>0</v>
          </cell>
          <cell r="AE17">
            <v>0</v>
          </cell>
        </row>
        <row r="28">
          <cell r="AC28">
            <v>0</v>
          </cell>
          <cell r="AD28">
            <v>0</v>
          </cell>
          <cell r="AE28">
            <v>0</v>
          </cell>
        </row>
        <row r="30">
          <cell r="AC30"/>
          <cell r="AD30"/>
          <cell r="AE30"/>
        </row>
      </sheetData>
      <sheetData sheetId="4">
        <row r="5">
          <cell r="AC5">
            <v>673942.83000000007</v>
          </cell>
          <cell r="AD5">
            <v>16936.61</v>
          </cell>
          <cell r="AE5">
            <v>0</v>
          </cell>
        </row>
        <row r="60">
          <cell r="AC60">
            <v>159812.94999999998</v>
          </cell>
          <cell r="AD60">
            <v>0</v>
          </cell>
          <cell r="AE60">
            <v>0</v>
          </cell>
        </row>
        <row r="83">
          <cell r="AC83">
            <v>73279.289999999994</v>
          </cell>
          <cell r="AD83">
            <v>0</v>
          </cell>
          <cell r="AE83">
            <v>0</v>
          </cell>
        </row>
        <row r="86">
          <cell r="AC86">
            <v>75974.460000000006</v>
          </cell>
          <cell r="AD86">
            <v>0</v>
          </cell>
          <cell r="AE86">
            <v>0</v>
          </cell>
        </row>
        <row r="94">
          <cell r="AC94">
            <v>0</v>
          </cell>
          <cell r="AD94">
            <v>0</v>
          </cell>
          <cell r="AE94">
            <v>0</v>
          </cell>
        </row>
        <row r="96">
          <cell r="AC96">
            <v>5030.1099999999997</v>
          </cell>
          <cell r="AD96">
            <v>0</v>
          </cell>
          <cell r="AE96">
            <v>0</v>
          </cell>
        </row>
        <row r="114">
          <cell r="AC114">
            <v>0</v>
          </cell>
          <cell r="AD114">
            <v>115000</v>
          </cell>
          <cell r="AE114">
            <v>0</v>
          </cell>
        </row>
        <row r="121">
          <cell r="AC121">
            <v>93302.27</v>
          </cell>
          <cell r="AD121">
            <v>0</v>
          </cell>
          <cell r="AE121">
            <v>0</v>
          </cell>
        </row>
        <row r="124">
          <cell r="AC124">
            <v>136643.18</v>
          </cell>
          <cell r="AD124">
            <v>0</v>
          </cell>
          <cell r="AE124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</row>
        <row r="131">
          <cell r="AC131">
            <v>5384.32</v>
          </cell>
          <cell r="AD131">
            <v>0</v>
          </cell>
          <cell r="AE131">
            <v>0</v>
          </cell>
        </row>
        <row r="133">
          <cell r="AC133">
            <v>3000</v>
          </cell>
          <cell r="AD133">
            <v>0</v>
          </cell>
          <cell r="AE133">
            <v>0</v>
          </cell>
        </row>
      </sheetData>
      <sheetData sheetId="5">
        <row r="5">
          <cell r="AC5">
            <v>7205.88</v>
          </cell>
          <cell r="AD5">
            <v>0</v>
          </cell>
          <cell r="AE5">
            <v>0</v>
          </cell>
        </row>
        <row r="10">
          <cell r="AC10">
            <v>983571.07999999984</v>
          </cell>
          <cell r="AD10">
            <v>0</v>
          </cell>
          <cell r="AE10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</row>
        <row r="31">
          <cell r="AC31">
            <v>179436.22</v>
          </cell>
          <cell r="AD31">
            <v>0</v>
          </cell>
          <cell r="AE31">
            <v>0</v>
          </cell>
        </row>
      </sheetData>
      <sheetData sheetId="6">
        <row r="5">
          <cell r="AC5">
            <v>0</v>
          </cell>
          <cell r="AD5">
            <v>0</v>
          </cell>
          <cell r="AE5">
            <v>0</v>
          </cell>
        </row>
        <row r="7">
          <cell r="AC7">
            <v>0</v>
          </cell>
          <cell r="AD7">
            <v>226899.96</v>
          </cell>
          <cell r="AE7">
            <v>0</v>
          </cell>
        </row>
        <row r="15">
          <cell r="AC15">
            <v>72088.56</v>
          </cell>
          <cell r="AD15">
            <v>0</v>
          </cell>
          <cell r="AE15">
            <v>0</v>
          </cell>
        </row>
        <row r="17">
          <cell r="AC17">
            <v>300027.12</v>
          </cell>
          <cell r="AD17">
            <v>0</v>
          </cell>
          <cell r="AE17">
            <v>0</v>
          </cell>
        </row>
        <row r="19">
          <cell r="AC19">
            <v>85994.010000000009</v>
          </cell>
          <cell r="AD19">
            <v>0</v>
          </cell>
          <cell r="AE19">
            <v>0</v>
          </cell>
        </row>
        <row r="26">
          <cell r="AC26">
            <v>10988</v>
          </cell>
          <cell r="AD26">
            <v>0</v>
          </cell>
          <cell r="AE26">
            <v>0</v>
          </cell>
        </row>
        <row r="28">
          <cell r="AC28">
            <v>5700.03</v>
          </cell>
          <cell r="AD28">
            <v>16758.580000000002</v>
          </cell>
          <cell r="AE28">
            <v>0</v>
          </cell>
        </row>
        <row r="31">
          <cell r="AC31">
            <v>0</v>
          </cell>
          <cell r="AD31">
            <v>0</v>
          </cell>
          <cell r="AE31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36">
          <cell r="AC36">
            <v>924</v>
          </cell>
          <cell r="AD36">
            <v>6093388.25</v>
          </cell>
          <cell r="AE36">
            <v>0</v>
          </cell>
        </row>
        <row r="39">
          <cell r="AC39">
            <v>0</v>
          </cell>
          <cell r="AD39">
            <v>0</v>
          </cell>
          <cell r="AE39">
            <v>0</v>
          </cell>
        </row>
      </sheetData>
      <sheetData sheetId="7">
        <row r="4">
          <cell r="AC4">
            <v>200979.3</v>
          </cell>
          <cell r="AD4">
            <v>0</v>
          </cell>
          <cell r="AE4">
            <v>0</v>
          </cell>
        </row>
        <row r="7">
          <cell r="AC7">
            <v>0</v>
          </cell>
          <cell r="AD7">
            <v>0</v>
          </cell>
          <cell r="AE7">
            <v>0</v>
          </cell>
        </row>
      </sheetData>
      <sheetData sheetId="8">
        <row r="4">
          <cell r="AC4">
            <v>4601.3200000000006</v>
          </cell>
          <cell r="AD4">
            <v>0</v>
          </cell>
          <cell r="AE4">
            <v>0</v>
          </cell>
        </row>
        <row r="20">
          <cell r="AC20">
            <v>241875</v>
          </cell>
          <cell r="AD20">
            <v>9000</v>
          </cell>
          <cell r="AE20"/>
        </row>
        <row r="21">
          <cell r="AC21">
            <v>405637</v>
          </cell>
          <cell r="AD21">
            <v>10928</v>
          </cell>
          <cell r="AE21"/>
        </row>
        <row r="22">
          <cell r="AC22">
            <v>593168</v>
          </cell>
          <cell r="AD22"/>
          <cell r="AE22"/>
        </row>
        <row r="23">
          <cell r="AC23"/>
          <cell r="AD23"/>
          <cell r="AE23"/>
        </row>
        <row r="24">
          <cell r="AC24">
            <v>290035</v>
          </cell>
          <cell r="AD24"/>
          <cell r="AE24"/>
        </row>
        <row r="25">
          <cell r="AC25">
            <v>314075</v>
          </cell>
          <cell r="AD25"/>
          <cell r="AE25"/>
        </row>
        <row r="26">
          <cell r="AC26">
            <v>314833</v>
          </cell>
          <cell r="AD26"/>
          <cell r="AE26"/>
        </row>
        <row r="27">
          <cell r="AC27">
            <v>82112</v>
          </cell>
          <cell r="AD27"/>
          <cell r="AE27"/>
        </row>
        <row r="29">
          <cell r="AC29">
            <v>745399</v>
          </cell>
          <cell r="AD29">
            <v>0</v>
          </cell>
          <cell r="AE29">
            <v>0</v>
          </cell>
        </row>
        <row r="32">
          <cell r="AC32">
            <v>1059725</v>
          </cell>
          <cell r="AD32">
            <v>0</v>
          </cell>
          <cell r="AE32">
            <v>0</v>
          </cell>
        </row>
        <row r="36">
          <cell r="AC36">
            <v>1827071.75</v>
          </cell>
          <cell r="AD36">
            <v>0</v>
          </cell>
          <cell r="AE36">
            <v>0</v>
          </cell>
        </row>
        <row r="41">
          <cell r="AC41">
            <v>1519330.77</v>
          </cell>
          <cell r="AD41">
            <v>0</v>
          </cell>
          <cell r="AE41">
            <v>0</v>
          </cell>
        </row>
        <row r="44">
          <cell r="AC44">
            <v>1145596.46</v>
          </cell>
          <cell r="AD44">
            <v>0</v>
          </cell>
          <cell r="AE44">
            <v>0</v>
          </cell>
        </row>
        <row r="47">
          <cell r="AC47">
            <v>700152</v>
          </cell>
          <cell r="AD47">
            <v>0</v>
          </cell>
          <cell r="AE47">
            <v>0</v>
          </cell>
        </row>
        <row r="51">
          <cell r="AC51">
            <v>736500</v>
          </cell>
          <cell r="AD51"/>
          <cell r="AE51"/>
        </row>
        <row r="52">
          <cell r="AC52">
            <v>302040</v>
          </cell>
          <cell r="AD52"/>
          <cell r="AE52"/>
        </row>
        <row r="53">
          <cell r="AC53">
            <v>747932.31</v>
          </cell>
          <cell r="AD53">
            <v>0</v>
          </cell>
          <cell r="AE53">
            <v>0</v>
          </cell>
        </row>
        <row r="74">
          <cell r="AC74">
            <v>859677.33</v>
          </cell>
          <cell r="AD74">
            <v>50741.919999999998</v>
          </cell>
          <cell r="AE74"/>
        </row>
        <row r="75">
          <cell r="AC75">
            <v>22146.02</v>
          </cell>
          <cell r="AD75">
            <v>0</v>
          </cell>
          <cell r="AE75">
            <v>0</v>
          </cell>
        </row>
        <row r="82">
          <cell r="AC82">
            <v>878363.11</v>
          </cell>
          <cell r="AD82"/>
          <cell r="AE82"/>
        </row>
      </sheetData>
      <sheetData sheetId="9">
        <row r="4">
          <cell r="AC4">
            <v>2461.89</v>
          </cell>
          <cell r="AD4">
            <v>0</v>
          </cell>
          <cell r="AE4">
            <v>0</v>
          </cell>
        </row>
        <row r="12">
          <cell r="AC12">
            <v>61795.549999999996</v>
          </cell>
          <cell r="AD12">
            <v>0</v>
          </cell>
          <cell r="AE12">
            <v>0</v>
          </cell>
        </row>
        <row r="32">
          <cell r="AC32">
            <v>79820.62000000001</v>
          </cell>
          <cell r="AD32">
            <v>0</v>
          </cell>
          <cell r="AE32">
            <v>0</v>
          </cell>
        </row>
        <row r="52">
          <cell r="AC52">
            <v>37659.86</v>
          </cell>
          <cell r="AD52">
            <v>0</v>
          </cell>
          <cell r="AE52">
            <v>0</v>
          </cell>
        </row>
        <row r="64">
          <cell r="AC64">
            <v>215029.52000000002</v>
          </cell>
          <cell r="AD64">
            <v>0</v>
          </cell>
          <cell r="AE64">
            <v>0</v>
          </cell>
        </row>
        <row r="85">
          <cell r="AC85">
            <v>9107.81</v>
          </cell>
          <cell r="AD85">
            <v>0</v>
          </cell>
          <cell r="AE85">
            <v>0</v>
          </cell>
        </row>
        <row r="93">
          <cell r="AC93">
            <v>712.26</v>
          </cell>
          <cell r="AD93">
            <v>78005</v>
          </cell>
          <cell r="AE93">
            <v>0</v>
          </cell>
        </row>
        <row r="99">
          <cell r="AC99">
            <v>30165.78</v>
          </cell>
          <cell r="AD99">
            <v>0</v>
          </cell>
          <cell r="AE99">
            <v>0</v>
          </cell>
        </row>
        <row r="107">
          <cell r="AC107">
            <v>9958.4500000000007</v>
          </cell>
          <cell r="AD107">
            <v>0</v>
          </cell>
          <cell r="AE107">
            <v>0</v>
          </cell>
        </row>
      </sheetData>
      <sheetData sheetId="10">
        <row r="4">
          <cell r="AC4">
            <v>17824.310000000001</v>
          </cell>
          <cell r="AD4">
            <v>0</v>
          </cell>
          <cell r="AE4">
            <v>0</v>
          </cell>
        </row>
        <row r="20">
          <cell r="AC20">
            <v>192849.67</v>
          </cell>
          <cell r="AD20">
            <v>0</v>
          </cell>
          <cell r="AE20">
            <v>0</v>
          </cell>
        </row>
        <row r="27">
          <cell r="AC27">
            <v>2654.24</v>
          </cell>
          <cell r="AD27">
            <v>0</v>
          </cell>
          <cell r="AE27">
            <v>0</v>
          </cell>
        </row>
        <row r="37">
          <cell r="AC37">
            <v>746313.57</v>
          </cell>
          <cell r="AD37">
            <v>497584.93</v>
          </cell>
          <cell r="AE37">
            <v>0</v>
          </cell>
        </row>
        <row r="125">
          <cell r="AC125">
            <v>11872.97</v>
          </cell>
          <cell r="AD125">
            <v>0</v>
          </cell>
          <cell r="AE125">
            <v>0</v>
          </cell>
        </row>
        <row r="140">
          <cell r="AC140">
            <v>101.3</v>
          </cell>
          <cell r="AD140">
            <v>0</v>
          </cell>
          <cell r="AE140">
            <v>0</v>
          </cell>
        </row>
        <row r="143">
          <cell r="AC143">
            <v>10000</v>
          </cell>
          <cell r="AD143">
            <v>0</v>
          </cell>
          <cell r="AE143">
            <v>0</v>
          </cell>
        </row>
      </sheetData>
      <sheetData sheetId="11">
        <row r="5">
          <cell r="AC5">
            <v>326098.83999999997</v>
          </cell>
          <cell r="AD5">
            <v>257695.22</v>
          </cell>
          <cell r="AE5">
            <v>0</v>
          </cell>
        </row>
        <row r="22">
          <cell r="AC22">
            <v>11814</v>
          </cell>
          <cell r="AD22">
            <v>0</v>
          </cell>
          <cell r="AE22">
            <v>0</v>
          </cell>
        </row>
        <row r="24">
          <cell r="AC24">
            <v>378.12</v>
          </cell>
          <cell r="AD24">
            <v>0</v>
          </cell>
          <cell r="AE24">
            <v>0</v>
          </cell>
        </row>
        <row r="41">
          <cell r="AC41">
            <v>2605.1999999999998</v>
          </cell>
          <cell r="AD41">
            <v>0</v>
          </cell>
          <cell r="AE41">
            <v>0</v>
          </cell>
        </row>
        <row r="45">
          <cell r="AC45">
            <v>5430</v>
          </cell>
          <cell r="AD45">
            <v>0</v>
          </cell>
          <cell r="AE45">
            <v>0</v>
          </cell>
        </row>
        <row r="48">
          <cell r="AC48">
            <v>32615.680000000008</v>
          </cell>
          <cell r="AD48">
            <v>422028.2</v>
          </cell>
          <cell r="AE48">
            <v>0</v>
          </cell>
        </row>
        <row r="68">
          <cell r="AC68">
            <v>500.05</v>
          </cell>
          <cell r="AD68">
            <v>0</v>
          </cell>
          <cell r="AE68">
            <v>0</v>
          </cell>
        </row>
        <row r="70">
          <cell r="AC70">
            <v>40835.03</v>
          </cell>
          <cell r="AD70">
            <v>0</v>
          </cell>
          <cell r="AE70">
            <v>0</v>
          </cell>
        </row>
        <row r="74">
          <cell r="AC74">
            <v>35683.279999999999</v>
          </cell>
          <cell r="AD74">
            <v>0</v>
          </cell>
          <cell r="AE74">
            <v>0</v>
          </cell>
        </row>
        <row r="102">
          <cell r="AC102">
            <v>0</v>
          </cell>
          <cell r="AD102">
            <v>0</v>
          </cell>
          <cell r="AE102">
            <v>0</v>
          </cell>
        </row>
      </sheetData>
      <sheetData sheetId="12">
        <row r="5">
          <cell r="AC5">
            <v>32170</v>
          </cell>
          <cell r="AD5">
            <v>0</v>
          </cell>
          <cell r="AE5">
            <v>0</v>
          </cell>
        </row>
        <row r="8">
          <cell r="AC8"/>
          <cell r="AD8"/>
          <cell r="AE8"/>
        </row>
        <row r="9">
          <cell r="AC9">
            <v>5710</v>
          </cell>
          <cell r="AD9">
            <v>0</v>
          </cell>
          <cell r="AE9">
            <v>0</v>
          </cell>
        </row>
        <row r="17">
          <cell r="AC17">
            <v>258490</v>
          </cell>
          <cell r="AD17">
            <v>0</v>
          </cell>
          <cell r="AE17">
            <v>0</v>
          </cell>
        </row>
        <row r="21">
          <cell r="AC21">
            <v>72150</v>
          </cell>
          <cell r="AD21">
            <v>0</v>
          </cell>
          <cell r="AE21">
            <v>0</v>
          </cell>
        </row>
        <row r="24">
          <cell r="AC24">
            <v>0</v>
          </cell>
          <cell r="AD24">
            <v>0</v>
          </cell>
          <cell r="AE24">
            <v>0</v>
          </cell>
        </row>
        <row r="26">
          <cell r="AC26">
            <v>96748.27</v>
          </cell>
          <cell r="AD26">
            <v>0</v>
          </cell>
          <cell r="AE26">
            <v>0</v>
          </cell>
        </row>
        <row r="30">
          <cell r="AC30">
            <v>47260</v>
          </cell>
          <cell r="AD30">
            <v>0</v>
          </cell>
          <cell r="AE30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35">
          <cell r="AC35">
            <v>1334614.9100000001</v>
          </cell>
          <cell r="AD35">
            <v>9980</v>
          </cell>
          <cell r="AE35">
            <v>0</v>
          </cell>
        </row>
        <row r="50">
          <cell r="AC50">
            <v>243156.14</v>
          </cell>
          <cell r="AD50">
            <v>0</v>
          </cell>
          <cell r="AE50">
            <v>0</v>
          </cell>
        </row>
        <row r="55">
          <cell r="AC55">
            <v>41335.370000000003</v>
          </cell>
          <cell r="AD55">
            <v>16639.14</v>
          </cell>
          <cell r="AE55">
            <v>0</v>
          </cell>
        </row>
        <row r="59">
          <cell r="AC59">
            <v>0</v>
          </cell>
          <cell r="AD59">
            <v>0</v>
          </cell>
          <cell r="AE59">
            <v>0</v>
          </cell>
        </row>
        <row r="62">
          <cell r="AC62">
            <v>71281.119999999995</v>
          </cell>
          <cell r="AD62">
            <v>0</v>
          </cell>
          <cell r="AE62">
            <v>0</v>
          </cell>
        </row>
        <row r="65">
          <cell r="AC65">
            <v>6760</v>
          </cell>
          <cell r="AD65">
            <v>0</v>
          </cell>
          <cell r="AE65">
            <v>0</v>
          </cell>
        </row>
        <row r="67">
          <cell r="AC67">
            <v>1002.4</v>
          </cell>
          <cell r="AD67">
            <v>0</v>
          </cell>
          <cell r="AE67">
            <v>0</v>
          </cell>
        </row>
        <row r="79">
          <cell r="AC79">
            <v>38666.35</v>
          </cell>
          <cell r="AD79">
            <v>0</v>
          </cell>
          <cell r="AE79">
            <v>0</v>
          </cell>
        </row>
        <row r="104">
          <cell r="AC104">
            <v>15651.7</v>
          </cell>
          <cell r="AD104">
            <v>0</v>
          </cell>
          <cell r="AE104">
            <v>0</v>
          </cell>
        </row>
        <row r="106">
          <cell r="AC106">
            <v>150066.79</v>
          </cell>
          <cell r="AD106">
            <v>0</v>
          </cell>
          <cell r="AE106">
            <v>0</v>
          </cell>
        </row>
        <row r="112">
          <cell r="AC112">
            <v>558308.37</v>
          </cell>
          <cell r="AD112">
            <v>0</v>
          </cell>
          <cell r="AE112">
            <v>0</v>
          </cell>
        </row>
      </sheetData>
      <sheetData sheetId="13">
        <row r="24">
          <cell r="AC24">
            <v>602396.80999999994</v>
          </cell>
          <cell r="AD24">
            <v>0</v>
          </cell>
          <cell r="AE24">
            <v>214983.36999999997</v>
          </cell>
        </row>
      </sheetData>
      <sheetData sheetId="14">
        <row r="4">
          <cell r="AC4">
            <v>2282735.1999999997</v>
          </cell>
          <cell r="AD4">
            <v>821848.39</v>
          </cell>
          <cell r="AE4">
            <v>0</v>
          </cell>
        </row>
        <row r="102">
          <cell r="AC102"/>
          <cell r="AD102"/>
          <cell r="AE102"/>
        </row>
        <row r="103">
          <cell r="AC103">
            <v>196651.7</v>
          </cell>
          <cell r="AD103">
            <v>0</v>
          </cell>
          <cell r="AE103">
            <v>2685110.99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121300</v>
          </cell>
          <cell r="AG5">
            <v>0</v>
          </cell>
          <cell r="AH5">
            <v>0</v>
          </cell>
          <cell r="AI5">
            <v>111421.81999999999</v>
          </cell>
          <cell r="AJ5">
            <v>0</v>
          </cell>
          <cell r="AK5">
            <v>0</v>
          </cell>
        </row>
        <row r="17">
          <cell r="AF17">
            <v>51450</v>
          </cell>
          <cell r="AG17">
            <v>0</v>
          </cell>
          <cell r="AH17">
            <v>0</v>
          </cell>
          <cell r="AI17">
            <v>50056</v>
          </cell>
          <cell r="AJ17">
            <v>0</v>
          </cell>
          <cell r="AK17">
            <v>0</v>
          </cell>
        </row>
        <row r="28">
          <cell r="AF28">
            <v>116950</v>
          </cell>
          <cell r="AG28">
            <v>0</v>
          </cell>
          <cell r="AH28">
            <v>0</v>
          </cell>
          <cell r="AI28">
            <v>111422.45999999999</v>
          </cell>
          <cell r="AJ28">
            <v>0</v>
          </cell>
          <cell r="AK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41">
          <cell r="AF41">
            <v>37043</v>
          </cell>
          <cell r="AG41">
            <v>0</v>
          </cell>
          <cell r="AH41">
            <v>0</v>
          </cell>
          <cell r="AI41">
            <v>21240.6</v>
          </cell>
          <cell r="AJ41">
            <v>0</v>
          </cell>
          <cell r="AK41">
            <v>0</v>
          </cell>
        </row>
        <row r="58">
          <cell r="AF58">
            <v>10000</v>
          </cell>
          <cell r="AG58">
            <v>0</v>
          </cell>
          <cell r="AH58">
            <v>0</v>
          </cell>
          <cell r="AI58">
            <v>8639</v>
          </cell>
          <cell r="AJ58">
            <v>0</v>
          </cell>
          <cell r="AK58">
            <v>0</v>
          </cell>
        </row>
        <row r="62">
          <cell r="AF62">
            <v>10050</v>
          </cell>
          <cell r="AG62">
            <v>16050</v>
          </cell>
          <cell r="AH62">
            <v>0</v>
          </cell>
          <cell r="AI62">
            <v>20</v>
          </cell>
          <cell r="AJ62">
            <v>12333.96</v>
          </cell>
          <cell r="AK62">
            <v>0</v>
          </cell>
        </row>
        <row r="79">
          <cell r="AF79">
            <v>86550</v>
          </cell>
          <cell r="AG79">
            <v>0</v>
          </cell>
          <cell r="AH79">
            <v>0</v>
          </cell>
          <cell r="AI79">
            <v>80427.429999999993</v>
          </cell>
          <cell r="AJ79">
            <v>0</v>
          </cell>
          <cell r="AK79">
            <v>0</v>
          </cell>
        </row>
        <row r="88">
          <cell r="AF88">
            <v>9000</v>
          </cell>
          <cell r="AG88">
            <v>0</v>
          </cell>
          <cell r="AH88">
            <v>0</v>
          </cell>
          <cell r="AI88">
            <v>7470</v>
          </cell>
          <cell r="AJ88">
            <v>0</v>
          </cell>
          <cell r="AK88">
            <v>0</v>
          </cell>
        </row>
        <row r="92">
          <cell r="AF92">
            <v>18350</v>
          </cell>
          <cell r="AG92">
            <v>0</v>
          </cell>
          <cell r="AH92">
            <v>0</v>
          </cell>
          <cell r="AI92">
            <v>13950</v>
          </cell>
          <cell r="AJ92">
            <v>0</v>
          </cell>
          <cell r="AK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F5">
            <v>820</v>
          </cell>
          <cell r="AG5">
            <v>0</v>
          </cell>
          <cell r="AH5">
            <v>0</v>
          </cell>
          <cell r="AI5">
            <v>400.46</v>
          </cell>
          <cell r="AJ5">
            <v>0</v>
          </cell>
          <cell r="AK5">
            <v>0</v>
          </cell>
        </row>
        <row r="7">
          <cell r="AF7">
            <v>5000</v>
          </cell>
          <cell r="AG7">
            <v>0</v>
          </cell>
          <cell r="AH7">
            <v>0</v>
          </cell>
          <cell r="AI7">
            <v>598.4</v>
          </cell>
          <cell r="AJ7">
            <v>0</v>
          </cell>
          <cell r="AK7">
            <v>0</v>
          </cell>
        </row>
        <row r="12">
          <cell r="AF12">
            <v>8050</v>
          </cell>
          <cell r="AG12">
            <v>0</v>
          </cell>
          <cell r="AH12">
            <v>0</v>
          </cell>
          <cell r="AI12">
            <v>2177.02</v>
          </cell>
          <cell r="AJ12">
            <v>0</v>
          </cell>
          <cell r="AK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  <cell r="AI27">
            <v>1575</v>
          </cell>
          <cell r="AJ27">
            <v>0</v>
          </cell>
          <cell r="AK27">
            <v>0</v>
          </cell>
        </row>
        <row r="29">
          <cell r="AF29">
            <v>5000</v>
          </cell>
          <cell r="AG29">
            <v>0</v>
          </cell>
          <cell r="AH29">
            <v>0</v>
          </cell>
          <cell r="AI29">
            <v>5000</v>
          </cell>
          <cell r="AJ29">
            <v>0</v>
          </cell>
          <cell r="AK29">
            <v>0</v>
          </cell>
        </row>
        <row r="32">
          <cell r="AF32">
            <v>4000</v>
          </cell>
          <cell r="AG32">
            <v>0</v>
          </cell>
          <cell r="AH32">
            <v>0</v>
          </cell>
          <cell r="AI32">
            <v>1038.5</v>
          </cell>
          <cell r="AJ32">
            <v>0</v>
          </cell>
          <cell r="AK32">
            <v>0</v>
          </cell>
        </row>
        <row r="46">
          <cell r="AF46">
            <v>1500</v>
          </cell>
          <cell r="AG46">
            <v>0</v>
          </cell>
          <cell r="AH46">
            <v>0</v>
          </cell>
          <cell r="AI46">
            <v>500</v>
          </cell>
          <cell r="AJ46">
            <v>0</v>
          </cell>
          <cell r="AK46">
            <v>0</v>
          </cell>
        </row>
        <row r="51">
          <cell r="AF51">
            <v>7700</v>
          </cell>
          <cell r="AG51">
            <v>0</v>
          </cell>
          <cell r="AH51">
            <v>0</v>
          </cell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F4">
            <v>97078</v>
          </cell>
          <cell r="AG4">
            <v>5120</v>
          </cell>
          <cell r="AH4">
            <v>0</v>
          </cell>
          <cell r="AI4">
            <v>82456.639999999999</v>
          </cell>
          <cell r="AJ4">
            <v>5116.8</v>
          </cell>
          <cell r="AK4">
            <v>0</v>
          </cell>
        </row>
        <row r="23">
          <cell r="AF23">
            <v>1000</v>
          </cell>
          <cell r="AG23">
            <v>0</v>
          </cell>
          <cell r="AH23">
            <v>0</v>
          </cell>
          <cell r="AI23">
            <v>73.8</v>
          </cell>
          <cell r="AJ23">
            <v>0</v>
          </cell>
          <cell r="AK23">
            <v>0</v>
          </cell>
        </row>
        <row r="29">
          <cell r="AF29">
            <v>1800</v>
          </cell>
          <cell r="AG29">
            <v>0</v>
          </cell>
          <cell r="AH29">
            <v>0</v>
          </cell>
          <cell r="AI29">
            <v>744</v>
          </cell>
          <cell r="AJ29">
            <v>0</v>
          </cell>
          <cell r="AK29">
            <v>0</v>
          </cell>
        </row>
        <row r="34">
          <cell r="AF34">
            <v>16650</v>
          </cell>
          <cell r="AG34">
            <v>0</v>
          </cell>
          <cell r="AH34">
            <v>0</v>
          </cell>
          <cell r="AI34">
            <v>16390.490000000002</v>
          </cell>
          <cell r="AJ34">
            <v>0</v>
          </cell>
          <cell r="AK34">
            <v>0</v>
          </cell>
        </row>
        <row r="37">
          <cell r="AF37">
            <v>215688</v>
          </cell>
          <cell r="AG37">
            <v>0</v>
          </cell>
          <cell r="AH37">
            <v>0</v>
          </cell>
          <cell r="AI37">
            <v>188175.29999999996</v>
          </cell>
          <cell r="AJ37">
            <v>0</v>
          </cell>
          <cell r="AK37">
            <v>0</v>
          </cell>
        </row>
        <row r="95">
          <cell r="AF95">
            <v>700</v>
          </cell>
          <cell r="AG95">
            <v>7730</v>
          </cell>
          <cell r="AH95">
            <v>0</v>
          </cell>
          <cell r="AI95">
            <v>300</v>
          </cell>
          <cell r="AJ95">
            <v>6384.8</v>
          </cell>
          <cell r="AK95">
            <v>0</v>
          </cell>
        </row>
        <row r="100">
          <cell r="AF100">
            <v>7000</v>
          </cell>
          <cell r="AG100">
            <v>0</v>
          </cell>
          <cell r="AH100">
            <v>0</v>
          </cell>
          <cell r="AI100">
            <v>4851.42</v>
          </cell>
          <cell r="AJ100">
            <v>0</v>
          </cell>
          <cell r="AK100">
            <v>0</v>
          </cell>
        </row>
        <row r="106">
          <cell r="AF106">
            <v>500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F4">
            <v>26650</v>
          </cell>
          <cell r="AG4">
            <v>0</v>
          </cell>
          <cell r="AH4">
            <v>0</v>
          </cell>
          <cell r="AI4">
            <v>19963.559999999998</v>
          </cell>
          <cell r="AJ4">
            <v>0</v>
          </cell>
          <cell r="AK4">
            <v>0</v>
          </cell>
        </row>
        <row r="17">
          <cell r="AF17">
            <v>34450</v>
          </cell>
          <cell r="AG17">
            <v>0</v>
          </cell>
          <cell r="AH17">
            <v>0</v>
          </cell>
          <cell r="AI17">
            <v>32802.890000000007</v>
          </cell>
          <cell r="AJ17">
            <v>0</v>
          </cell>
          <cell r="AK17">
            <v>0</v>
          </cell>
        </row>
        <row r="29">
          <cell r="AF29">
            <v>2000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1">
          <cell r="AF31"/>
          <cell r="AG31"/>
          <cell r="AH31"/>
          <cell r="AI31"/>
          <cell r="AJ31"/>
          <cell r="AK31"/>
        </row>
      </sheetData>
      <sheetData sheetId="4">
        <row r="5">
          <cell r="AF5">
            <v>712514</v>
          </cell>
          <cell r="AG5">
            <v>80000</v>
          </cell>
          <cell r="AH5">
            <v>4000</v>
          </cell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F61">
            <v>202208</v>
          </cell>
          <cell r="AG61">
            <v>0</v>
          </cell>
          <cell r="AH61">
            <v>0</v>
          </cell>
          <cell r="AI61">
            <v>175958.87</v>
          </cell>
          <cell r="AJ61">
            <v>0</v>
          </cell>
          <cell r="AK61">
            <v>0</v>
          </cell>
        </row>
        <row r="84">
          <cell r="AF84">
            <v>82000</v>
          </cell>
          <cell r="AG84">
            <v>0</v>
          </cell>
          <cell r="AH84">
            <v>0</v>
          </cell>
          <cell r="AI84">
            <v>78209.259999999995</v>
          </cell>
          <cell r="AJ84">
            <v>0</v>
          </cell>
          <cell r="AK84">
            <v>0</v>
          </cell>
        </row>
        <row r="87">
          <cell r="AF87">
            <v>83700</v>
          </cell>
          <cell r="AG87">
            <v>0</v>
          </cell>
          <cell r="AH87">
            <v>0</v>
          </cell>
          <cell r="AI87">
            <v>80196.350000000006</v>
          </cell>
          <cell r="AJ87">
            <v>0</v>
          </cell>
          <cell r="AK87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7">
          <cell r="AF97">
            <v>6100</v>
          </cell>
          <cell r="AG97">
            <v>0</v>
          </cell>
          <cell r="AH97">
            <v>0</v>
          </cell>
          <cell r="AI97">
            <v>5961.4100000000008</v>
          </cell>
          <cell r="AJ97">
            <v>0</v>
          </cell>
          <cell r="AK97">
            <v>0</v>
          </cell>
        </row>
        <row r="115">
          <cell r="AF115">
            <v>0</v>
          </cell>
          <cell r="AG115">
            <v>115000</v>
          </cell>
          <cell r="AH115">
            <v>0</v>
          </cell>
          <cell r="AI115">
            <v>0</v>
          </cell>
          <cell r="AJ115">
            <v>115000</v>
          </cell>
          <cell r="AK115">
            <v>0</v>
          </cell>
        </row>
        <row r="122">
          <cell r="AF122">
            <v>110120</v>
          </cell>
          <cell r="AG122">
            <v>0</v>
          </cell>
          <cell r="AH122">
            <v>0</v>
          </cell>
          <cell r="AI122">
            <v>94492.67</v>
          </cell>
          <cell r="AJ122">
            <v>0</v>
          </cell>
          <cell r="AK122">
            <v>0</v>
          </cell>
        </row>
        <row r="125">
          <cell r="AF125">
            <v>143400</v>
          </cell>
          <cell r="AG125">
            <v>0</v>
          </cell>
          <cell r="AH125">
            <v>0</v>
          </cell>
          <cell r="AI125">
            <v>143352.88</v>
          </cell>
          <cell r="AJ125">
            <v>0</v>
          </cell>
          <cell r="AK125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</row>
        <row r="132">
          <cell r="AF132">
            <v>6300</v>
          </cell>
          <cell r="AG132">
            <v>0</v>
          </cell>
          <cell r="AH132">
            <v>0</v>
          </cell>
          <cell r="AI132">
            <v>4349</v>
          </cell>
          <cell r="AJ132">
            <v>0</v>
          </cell>
          <cell r="AK132">
            <v>0</v>
          </cell>
        </row>
        <row r="134">
          <cell r="AF134">
            <v>3000</v>
          </cell>
          <cell r="AG134">
            <v>0</v>
          </cell>
          <cell r="AH134">
            <v>0</v>
          </cell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F5">
            <v>9750</v>
          </cell>
          <cell r="AG5">
            <v>0</v>
          </cell>
          <cell r="AH5">
            <v>0</v>
          </cell>
          <cell r="AI5">
            <v>5065.4799999999996</v>
          </cell>
          <cell r="AJ5">
            <v>0</v>
          </cell>
          <cell r="AK5">
            <v>0</v>
          </cell>
        </row>
        <row r="10">
          <cell r="AF10">
            <v>1760298</v>
          </cell>
          <cell r="AG10">
            <v>0</v>
          </cell>
          <cell r="AH10">
            <v>0</v>
          </cell>
          <cell r="AI10">
            <v>1658456.15</v>
          </cell>
          <cell r="AJ10">
            <v>0</v>
          </cell>
          <cell r="AK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1">
          <cell r="AF31">
            <v>207170</v>
          </cell>
          <cell r="AG31">
            <v>0</v>
          </cell>
          <cell r="AH31">
            <v>0</v>
          </cell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7">
          <cell r="AF7">
            <v>0</v>
          </cell>
          <cell r="AG7">
            <v>227000</v>
          </cell>
          <cell r="AH7">
            <v>0</v>
          </cell>
          <cell r="AI7">
            <v>0</v>
          </cell>
          <cell r="AJ7">
            <v>226899.96</v>
          </cell>
          <cell r="AK7">
            <v>0</v>
          </cell>
        </row>
        <row r="15">
          <cell r="AF15">
            <v>85000</v>
          </cell>
          <cell r="AG15">
            <v>0</v>
          </cell>
          <cell r="AH15">
            <v>0</v>
          </cell>
          <cell r="AI15">
            <v>81043.48</v>
          </cell>
          <cell r="AJ15">
            <v>0</v>
          </cell>
          <cell r="AK15">
            <v>0</v>
          </cell>
        </row>
        <row r="17">
          <cell r="AF17">
            <v>290000</v>
          </cell>
          <cell r="AG17">
            <v>0</v>
          </cell>
          <cell r="AH17">
            <v>0</v>
          </cell>
          <cell r="AI17">
            <v>252062.96</v>
          </cell>
          <cell r="AJ17">
            <v>0</v>
          </cell>
          <cell r="AK17">
            <v>0</v>
          </cell>
        </row>
        <row r="19">
          <cell r="AF19">
            <v>81162</v>
          </cell>
          <cell r="AG19">
            <v>0</v>
          </cell>
          <cell r="AH19">
            <v>0</v>
          </cell>
          <cell r="AI19">
            <v>78182.260000000009</v>
          </cell>
          <cell r="AJ19">
            <v>0</v>
          </cell>
          <cell r="AK19">
            <v>0</v>
          </cell>
        </row>
        <row r="26">
          <cell r="AF26">
            <v>27984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8">
          <cell r="AF28">
            <v>10000</v>
          </cell>
          <cell r="AG28">
            <v>0</v>
          </cell>
          <cell r="AH28">
            <v>0</v>
          </cell>
          <cell r="AI28">
            <v>6693.33</v>
          </cell>
          <cell r="AJ28">
            <v>0</v>
          </cell>
          <cell r="AK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3">
          <cell r="AF33">
            <v>51000</v>
          </cell>
          <cell r="AG33">
            <v>1895985</v>
          </cell>
          <cell r="AH33">
            <v>0</v>
          </cell>
          <cell r="AI33">
            <v>20959.400000000001</v>
          </cell>
          <cell r="AJ33">
            <v>1666699.68</v>
          </cell>
          <cell r="AK33">
            <v>0</v>
          </cell>
        </row>
        <row r="36">
          <cell r="AF36">
            <v>19000</v>
          </cell>
          <cell r="AG36">
            <v>12053.6</v>
          </cell>
          <cell r="AH36">
            <v>0</v>
          </cell>
          <cell r="AI36">
            <v>15612.7</v>
          </cell>
          <cell r="AJ36">
            <v>11999.88</v>
          </cell>
          <cell r="AK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F4">
            <v>190000</v>
          </cell>
          <cell r="AG4">
            <v>0</v>
          </cell>
          <cell r="AH4">
            <v>0</v>
          </cell>
          <cell r="AI4">
            <v>188464</v>
          </cell>
          <cell r="AJ4">
            <v>0</v>
          </cell>
          <cell r="AK4">
            <v>0</v>
          </cell>
        </row>
        <row r="7">
          <cell r="AF7">
            <v>5000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F4">
            <v>6000</v>
          </cell>
          <cell r="AG4">
            <v>0</v>
          </cell>
          <cell r="AH4">
            <v>0</v>
          </cell>
          <cell r="AI4">
            <v>5545.7800000000007</v>
          </cell>
          <cell r="AJ4">
            <v>0</v>
          </cell>
          <cell r="AK4">
            <v>0</v>
          </cell>
        </row>
        <row r="20">
          <cell r="AF20">
            <v>307255</v>
          </cell>
          <cell r="AG20">
            <v>2154</v>
          </cell>
          <cell r="AH20">
            <v>0</v>
          </cell>
          <cell r="AI20">
            <v>307255</v>
          </cell>
          <cell r="AJ20">
            <v>2153.9</v>
          </cell>
          <cell r="AK20">
            <v>0</v>
          </cell>
        </row>
        <row r="23">
          <cell r="AF23">
            <v>478707</v>
          </cell>
          <cell r="AG23">
            <v>0</v>
          </cell>
          <cell r="AH23">
            <v>0</v>
          </cell>
          <cell r="AI23">
            <v>478707</v>
          </cell>
          <cell r="AJ23">
            <v>0</v>
          </cell>
          <cell r="AK23">
            <v>0</v>
          </cell>
        </row>
        <row r="26">
          <cell r="AF26">
            <v>737546</v>
          </cell>
          <cell r="AG26">
            <v>0</v>
          </cell>
          <cell r="AH26">
            <v>0</v>
          </cell>
          <cell r="AI26">
            <v>737545.6</v>
          </cell>
          <cell r="AJ26">
            <v>0</v>
          </cell>
          <cell r="AK26">
            <v>0</v>
          </cell>
        </row>
        <row r="29">
          <cell r="AF29"/>
          <cell r="AG29"/>
          <cell r="AH29"/>
          <cell r="AI29"/>
          <cell r="AJ29"/>
          <cell r="AK29"/>
        </row>
        <row r="30">
          <cell r="AF30">
            <v>373117</v>
          </cell>
          <cell r="AG30">
            <v>2820</v>
          </cell>
          <cell r="AH30">
            <v>0</v>
          </cell>
          <cell r="AI30">
            <v>373116.08</v>
          </cell>
          <cell r="AJ30">
            <v>2819.61</v>
          </cell>
          <cell r="AK30">
            <v>0</v>
          </cell>
        </row>
        <row r="33">
          <cell r="AF33">
            <v>409124</v>
          </cell>
          <cell r="AG33">
            <v>0</v>
          </cell>
          <cell r="AH33">
            <v>0</v>
          </cell>
          <cell r="AI33">
            <v>409123.08</v>
          </cell>
          <cell r="AJ33">
            <v>0</v>
          </cell>
          <cell r="AK33">
            <v>0</v>
          </cell>
        </row>
        <row r="36">
          <cell r="AF36">
            <v>406697</v>
          </cell>
          <cell r="AG36">
            <v>4027</v>
          </cell>
          <cell r="AH36">
            <v>0</v>
          </cell>
          <cell r="AI36">
            <v>406697</v>
          </cell>
          <cell r="AJ36">
            <v>4026.77</v>
          </cell>
          <cell r="AK36">
            <v>0</v>
          </cell>
        </row>
        <row r="39">
          <cell r="AF39"/>
          <cell r="AG39"/>
          <cell r="AH39"/>
          <cell r="AI39"/>
          <cell r="AJ39"/>
          <cell r="AK39"/>
        </row>
        <row r="41">
          <cell r="AF41">
            <v>762292</v>
          </cell>
          <cell r="AG41">
            <v>678300</v>
          </cell>
          <cell r="AH41">
            <v>0</v>
          </cell>
          <cell r="AI41">
            <v>762291.56</v>
          </cell>
          <cell r="AJ41">
            <v>677871.44</v>
          </cell>
          <cell r="AK41">
            <v>0</v>
          </cell>
        </row>
        <row r="45">
          <cell r="AF45">
            <v>1186800</v>
          </cell>
          <cell r="AG45">
            <v>0</v>
          </cell>
          <cell r="AH45">
            <v>0</v>
          </cell>
          <cell r="AI45">
            <v>1185524</v>
          </cell>
          <cell r="AJ45">
            <v>0</v>
          </cell>
          <cell r="AK45">
            <v>0</v>
          </cell>
        </row>
        <row r="49">
          <cell r="AF49">
            <v>2007967</v>
          </cell>
          <cell r="AG49">
            <v>266500</v>
          </cell>
          <cell r="AH49">
            <v>0</v>
          </cell>
          <cell r="AI49">
            <v>2007966.25</v>
          </cell>
          <cell r="AJ49">
            <v>262710.49</v>
          </cell>
          <cell r="AK49">
            <v>0</v>
          </cell>
        </row>
        <row r="54">
          <cell r="AF54">
            <v>1734782</v>
          </cell>
          <cell r="AG54">
            <v>0</v>
          </cell>
          <cell r="AH54">
            <v>0</v>
          </cell>
          <cell r="AI54">
            <v>1734782</v>
          </cell>
          <cell r="AJ54">
            <v>0</v>
          </cell>
          <cell r="AK54">
            <v>0</v>
          </cell>
        </row>
        <row r="57">
          <cell r="AF57">
            <v>1411499</v>
          </cell>
          <cell r="AG57">
            <v>0</v>
          </cell>
          <cell r="AH57">
            <v>0</v>
          </cell>
          <cell r="AI57">
            <v>1410904</v>
          </cell>
          <cell r="AJ57">
            <v>0</v>
          </cell>
          <cell r="AK57">
            <v>0</v>
          </cell>
        </row>
        <row r="60">
          <cell r="AF60">
            <v>783047</v>
          </cell>
          <cell r="AG60">
            <v>0</v>
          </cell>
          <cell r="AH60">
            <v>0</v>
          </cell>
          <cell r="AI60">
            <v>779721.74</v>
          </cell>
          <cell r="AJ60">
            <v>0</v>
          </cell>
          <cell r="AK60">
            <v>0</v>
          </cell>
        </row>
        <row r="65">
          <cell r="AF65">
            <v>774984</v>
          </cell>
          <cell r="AG65"/>
          <cell r="AH65"/>
          <cell r="AI65">
            <v>774983.23</v>
          </cell>
          <cell r="AJ65"/>
          <cell r="AK65"/>
        </row>
        <row r="66">
          <cell r="AF66">
            <v>279214</v>
          </cell>
          <cell r="AG66"/>
          <cell r="AH66"/>
          <cell r="AI66">
            <v>279213.32</v>
          </cell>
          <cell r="AJ66"/>
          <cell r="AK66"/>
        </row>
        <row r="67">
          <cell r="AF67">
            <v>1418649</v>
          </cell>
          <cell r="AG67">
            <v>0</v>
          </cell>
          <cell r="AH67">
            <v>0</v>
          </cell>
          <cell r="AI67">
            <v>1250601.54</v>
          </cell>
          <cell r="AJ67">
            <v>0</v>
          </cell>
          <cell r="AK67">
            <v>0</v>
          </cell>
        </row>
        <row r="91">
          <cell r="AF91">
            <v>990163</v>
          </cell>
          <cell r="AG91">
            <v>20143</v>
          </cell>
          <cell r="AH91"/>
          <cell r="AI91">
            <v>830853.42</v>
          </cell>
          <cell r="AJ91">
            <v>20140.639999999996</v>
          </cell>
          <cell r="AK91"/>
        </row>
        <row r="92">
          <cell r="AF92">
            <v>552649</v>
          </cell>
          <cell r="AG92">
            <v>20999</v>
          </cell>
          <cell r="AH92">
            <v>0</v>
          </cell>
          <cell r="AI92">
            <v>78743</v>
          </cell>
          <cell r="AJ92">
            <v>0</v>
          </cell>
          <cell r="AK92">
            <v>0</v>
          </cell>
        </row>
        <row r="99">
          <cell r="AF99">
            <v>1303792</v>
          </cell>
          <cell r="AG99"/>
          <cell r="AH99"/>
          <cell r="AI99">
            <v>1050140.8799999999</v>
          </cell>
          <cell r="AJ99"/>
          <cell r="AK99"/>
        </row>
      </sheetData>
      <sheetData sheetId="9">
        <row r="4">
          <cell r="AF4">
            <v>5000</v>
          </cell>
          <cell r="AG4">
            <v>0</v>
          </cell>
          <cell r="AH4">
            <v>0</v>
          </cell>
          <cell r="AI4">
            <v>3530.69</v>
          </cell>
          <cell r="AJ4">
            <v>0</v>
          </cell>
          <cell r="AK4">
            <v>0</v>
          </cell>
        </row>
        <row r="12">
          <cell r="AF12">
            <v>86576</v>
          </cell>
          <cell r="AG12">
            <v>0</v>
          </cell>
          <cell r="AH12">
            <v>0</v>
          </cell>
          <cell r="AI12">
            <v>63820.610000000008</v>
          </cell>
          <cell r="AJ12">
            <v>0</v>
          </cell>
          <cell r="AK12">
            <v>0</v>
          </cell>
        </row>
        <row r="32">
          <cell r="AF32">
            <v>80217</v>
          </cell>
          <cell r="AG32">
            <v>0</v>
          </cell>
          <cell r="AH32">
            <v>0</v>
          </cell>
          <cell r="AI32">
            <v>67164.659999999989</v>
          </cell>
          <cell r="AJ32">
            <v>0</v>
          </cell>
          <cell r="AK32">
            <v>0</v>
          </cell>
        </row>
        <row r="54">
          <cell r="AF54">
            <v>33450</v>
          </cell>
          <cell r="AG54">
            <v>0</v>
          </cell>
          <cell r="AH54">
            <v>0</v>
          </cell>
          <cell r="AI54">
            <v>28205.27</v>
          </cell>
          <cell r="AJ54">
            <v>0</v>
          </cell>
          <cell r="AK54">
            <v>0</v>
          </cell>
        </row>
        <row r="66">
          <cell r="AF66">
            <v>237700</v>
          </cell>
          <cell r="AG66">
            <v>0</v>
          </cell>
          <cell r="AH66">
            <v>0</v>
          </cell>
          <cell r="AI66">
            <v>209468.91999999998</v>
          </cell>
          <cell r="AJ66">
            <v>0</v>
          </cell>
          <cell r="AK66">
            <v>0</v>
          </cell>
        </row>
        <row r="89">
          <cell r="AF89">
            <v>13350</v>
          </cell>
          <cell r="AG89">
            <v>0</v>
          </cell>
          <cell r="AH89">
            <v>0</v>
          </cell>
          <cell r="AI89">
            <v>10013.09</v>
          </cell>
          <cell r="AJ89">
            <v>0</v>
          </cell>
          <cell r="AK89">
            <v>0</v>
          </cell>
        </row>
        <row r="97">
          <cell r="AF97">
            <v>1000</v>
          </cell>
          <cell r="AG97">
            <v>0</v>
          </cell>
          <cell r="AH97">
            <v>0</v>
          </cell>
          <cell r="AI97">
            <v>570.21</v>
          </cell>
          <cell r="AJ97">
            <v>0</v>
          </cell>
          <cell r="AK97">
            <v>0</v>
          </cell>
        </row>
        <row r="103">
          <cell r="AF103">
            <v>20350</v>
          </cell>
          <cell r="AG103">
            <v>0</v>
          </cell>
          <cell r="AH103">
            <v>0</v>
          </cell>
          <cell r="AI103">
            <v>17094.16</v>
          </cell>
          <cell r="AJ103">
            <v>0</v>
          </cell>
          <cell r="AK103">
            <v>0</v>
          </cell>
        </row>
        <row r="111">
          <cell r="AF111">
            <v>5000</v>
          </cell>
          <cell r="AG111">
            <v>0</v>
          </cell>
          <cell r="AH111">
            <v>0</v>
          </cell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F4">
            <v>17123</v>
          </cell>
          <cell r="AG4">
            <v>0</v>
          </cell>
          <cell r="AH4">
            <v>0</v>
          </cell>
          <cell r="AI4">
            <v>14812.970000000001</v>
          </cell>
          <cell r="AJ4">
            <v>0</v>
          </cell>
          <cell r="AK4">
            <v>0</v>
          </cell>
        </row>
        <row r="20">
          <cell r="AF20">
            <v>200500</v>
          </cell>
          <cell r="AG20">
            <v>0</v>
          </cell>
          <cell r="AH20">
            <v>0</v>
          </cell>
          <cell r="AI20">
            <v>197817.13</v>
          </cell>
          <cell r="AJ20">
            <v>0</v>
          </cell>
          <cell r="AK20">
            <v>0</v>
          </cell>
        </row>
        <row r="27">
          <cell r="AF27">
            <v>10700</v>
          </cell>
          <cell r="AG27">
            <v>27896.400000000001</v>
          </cell>
          <cell r="AH27">
            <v>0</v>
          </cell>
          <cell r="AI27">
            <v>2114.19</v>
          </cell>
          <cell r="AJ27">
            <v>0</v>
          </cell>
          <cell r="AK27">
            <v>0</v>
          </cell>
        </row>
        <row r="37">
          <cell r="AF37">
            <v>786716</v>
          </cell>
          <cell r="AG37">
            <v>307000</v>
          </cell>
          <cell r="AH37">
            <v>0</v>
          </cell>
          <cell r="AI37">
            <v>712766.57999999984</v>
          </cell>
          <cell r="AJ37">
            <v>297000</v>
          </cell>
          <cell r="AK37">
            <v>0</v>
          </cell>
        </row>
        <row r="126">
          <cell r="AF126">
            <v>14656</v>
          </cell>
          <cell r="AG126">
            <v>0</v>
          </cell>
          <cell r="AH126">
            <v>0</v>
          </cell>
          <cell r="AI126">
            <v>12235.710000000001</v>
          </cell>
          <cell r="AJ126">
            <v>0</v>
          </cell>
          <cell r="AK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4">
          <cell r="AF144">
            <v>5000</v>
          </cell>
          <cell r="AG144">
            <v>0</v>
          </cell>
          <cell r="AH144">
            <v>0</v>
          </cell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F5">
            <v>460199</v>
          </cell>
          <cell r="AG5">
            <v>0</v>
          </cell>
          <cell r="AH5">
            <v>0</v>
          </cell>
          <cell r="AI5">
            <v>396694.24</v>
          </cell>
          <cell r="AJ5">
            <v>0</v>
          </cell>
          <cell r="AK5">
            <v>0</v>
          </cell>
        </row>
        <row r="24">
          <cell r="AF24">
            <v>6250</v>
          </cell>
          <cell r="AG24">
            <v>0</v>
          </cell>
          <cell r="AH24">
            <v>0</v>
          </cell>
          <cell r="AI24">
            <v>5300</v>
          </cell>
          <cell r="AJ24">
            <v>0</v>
          </cell>
          <cell r="AK24">
            <v>0</v>
          </cell>
        </row>
        <row r="26">
          <cell r="AF26">
            <v>8800</v>
          </cell>
          <cell r="AG26">
            <v>0</v>
          </cell>
          <cell r="AH26">
            <v>0</v>
          </cell>
          <cell r="AI26">
            <v>7904.4</v>
          </cell>
          <cell r="AJ26">
            <v>0</v>
          </cell>
          <cell r="AK26">
            <v>0</v>
          </cell>
        </row>
        <row r="44">
          <cell r="AF44">
            <v>2280</v>
          </cell>
          <cell r="AG44">
            <v>0</v>
          </cell>
          <cell r="AH44">
            <v>0</v>
          </cell>
          <cell r="AI44">
            <v>2261.85</v>
          </cell>
          <cell r="AJ44">
            <v>0</v>
          </cell>
          <cell r="AK44">
            <v>0</v>
          </cell>
        </row>
        <row r="48">
          <cell r="AF48">
            <v>3500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51">
          <cell r="AF51">
            <v>29800</v>
          </cell>
          <cell r="AG51">
            <v>0</v>
          </cell>
          <cell r="AH51">
            <v>0</v>
          </cell>
          <cell r="AI51">
            <v>16268.51</v>
          </cell>
          <cell r="AJ51">
            <v>0</v>
          </cell>
          <cell r="AK51">
            <v>0</v>
          </cell>
        </row>
        <row r="72">
          <cell r="AF72">
            <v>5000</v>
          </cell>
          <cell r="AG72">
            <v>0</v>
          </cell>
          <cell r="AH72">
            <v>0</v>
          </cell>
          <cell r="AI72">
            <v>2803.92</v>
          </cell>
          <cell r="AJ72">
            <v>0</v>
          </cell>
          <cell r="AK72">
            <v>0</v>
          </cell>
        </row>
        <row r="74">
          <cell r="AF74">
            <v>42500</v>
          </cell>
          <cell r="AG74">
            <v>0</v>
          </cell>
          <cell r="AH74">
            <v>0</v>
          </cell>
          <cell r="AI74">
            <v>40473.78</v>
          </cell>
          <cell r="AJ74">
            <v>0</v>
          </cell>
          <cell r="AK74">
            <v>0</v>
          </cell>
        </row>
        <row r="78">
          <cell r="AF78">
            <v>41438</v>
          </cell>
          <cell r="AG78">
            <v>17600</v>
          </cell>
          <cell r="AH78">
            <v>0</v>
          </cell>
          <cell r="AI78">
            <v>35540.35</v>
          </cell>
          <cell r="AJ78">
            <v>17600</v>
          </cell>
          <cell r="AK78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F5">
            <v>43300</v>
          </cell>
          <cell r="AG5">
            <v>0</v>
          </cell>
          <cell r="AH5">
            <v>0</v>
          </cell>
          <cell r="AI5">
            <v>43300</v>
          </cell>
          <cell r="AJ5">
            <v>0</v>
          </cell>
          <cell r="AK5">
            <v>0</v>
          </cell>
        </row>
        <row r="8">
          <cell r="AF8"/>
          <cell r="AG8"/>
          <cell r="AH8"/>
          <cell r="AI8"/>
          <cell r="AJ8"/>
          <cell r="AK8"/>
        </row>
        <row r="9">
          <cell r="AF9">
            <v>11000</v>
          </cell>
          <cell r="AG9">
            <v>0</v>
          </cell>
          <cell r="AH9">
            <v>0</v>
          </cell>
          <cell r="AI9">
            <v>5150</v>
          </cell>
          <cell r="AJ9">
            <v>0</v>
          </cell>
          <cell r="AK9">
            <v>0</v>
          </cell>
        </row>
        <row r="17">
          <cell r="AF17">
            <v>63220</v>
          </cell>
          <cell r="AG17">
            <v>0</v>
          </cell>
          <cell r="AH17">
            <v>0</v>
          </cell>
          <cell r="AI17">
            <v>63220</v>
          </cell>
          <cell r="AJ17">
            <v>0</v>
          </cell>
          <cell r="AK17">
            <v>0</v>
          </cell>
        </row>
        <row r="21">
          <cell r="AF21">
            <v>40220</v>
          </cell>
          <cell r="AG21">
            <v>0</v>
          </cell>
          <cell r="AH21">
            <v>0</v>
          </cell>
          <cell r="AI21">
            <v>40220</v>
          </cell>
          <cell r="AJ21">
            <v>0</v>
          </cell>
          <cell r="AK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6">
          <cell r="AF26">
            <v>111730</v>
          </cell>
          <cell r="AG26">
            <v>0</v>
          </cell>
          <cell r="AH26">
            <v>0</v>
          </cell>
          <cell r="AI26">
            <v>111730</v>
          </cell>
          <cell r="AJ26">
            <v>0</v>
          </cell>
          <cell r="AK26">
            <v>0</v>
          </cell>
        </row>
        <row r="30">
          <cell r="AF30">
            <v>58820</v>
          </cell>
          <cell r="AG30">
            <v>0</v>
          </cell>
          <cell r="AH30">
            <v>0</v>
          </cell>
          <cell r="AI30">
            <v>58820</v>
          </cell>
          <cell r="AJ30">
            <v>0</v>
          </cell>
          <cell r="AK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5">
          <cell r="AF35">
            <v>1667935</v>
          </cell>
          <cell r="AG35">
            <v>10000</v>
          </cell>
          <cell r="AH35">
            <v>0</v>
          </cell>
          <cell r="AI35">
            <v>1568441.01</v>
          </cell>
          <cell r="AJ35">
            <v>0</v>
          </cell>
          <cell r="AK35">
            <v>0</v>
          </cell>
        </row>
        <row r="50">
          <cell r="AF50">
            <v>240160</v>
          </cell>
          <cell r="AG50">
            <v>0</v>
          </cell>
          <cell r="AH50">
            <v>0</v>
          </cell>
          <cell r="AI50">
            <v>229855.49</v>
          </cell>
          <cell r="AJ50">
            <v>0</v>
          </cell>
          <cell r="AK50">
            <v>0</v>
          </cell>
        </row>
        <row r="55">
          <cell r="AF55">
            <v>45000</v>
          </cell>
          <cell r="AG55">
            <v>0</v>
          </cell>
          <cell r="AH55">
            <v>0</v>
          </cell>
          <cell r="AI55">
            <v>45000</v>
          </cell>
          <cell r="AJ55">
            <v>0</v>
          </cell>
          <cell r="AK55">
            <v>0</v>
          </cell>
        </row>
        <row r="59">
          <cell r="AF59">
            <v>5400</v>
          </cell>
          <cell r="AG59">
            <v>0</v>
          </cell>
          <cell r="AH59">
            <v>0</v>
          </cell>
          <cell r="AI59">
            <v>5400</v>
          </cell>
          <cell r="AJ59">
            <v>0</v>
          </cell>
          <cell r="AK59">
            <v>0</v>
          </cell>
        </row>
        <row r="62">
          <cell r="AF62">
            <v>76500</v>
          </cell>
          <cell r="AG62">
            <v>0</v>
          </cell>
          <cell r="AH62">
            <v>0</v>
          </cell>
          <cell r="AI62">
            <v>76500</v>
          </cell>
          <cell r="AJ62">
            <v>0</v>
          </cell>
          <cell r="AK62">
            <v>0</v>
          </cell>
        </row>
        <row r="65">
          <cell r="AF65">
            <v>8120</v>
          </cell>
          <cell r="AG65">
            <v>0</v>
          </cell>
          <cell r="AH65">
            <v>0</v>
          </cell>
          <cell r="AI65">
            <v>8120</v>
          </cell>
          <cell r="AJ65">
            <v>0</v>
          </cell>
          <cell r="AK65">
            <v>0</v>
          </cell>
        </row>
        <row r="67">
          <cell r="AF67">
            <v>1000</v>
          </cell>
          <cell r="AG67">
            <v>0</v>
          </cell>
          <cell r="AH67">
            <v>0</v>
          </cell>
          <cell r="AI67">
            <v>73.95</v>
          </cell>
          <cell r="AJ67">
            <v>0</v>
          </cell>
          <cell r="AK67">
            <v>0</v>
          </cell>
        </row>
        <row r="79">
          <cell r="AF79">
            <v>48330</v>
          </cell>
          <cell r="AG79">
            <v>0</v>
          </cell>
          <cell r="AH79">
            <v>0</v>
          </cell>
          <cell r="AI79">
            <v>45253.62</v>
          </cell>
          <cell r="AJ79">
            <v>0</v>
          </cell>
          <cell r="AK79">
            <v>0</v>
          </cell>
        </row>
        <row r="104">
          <cell r="AF104">
            <v>22800</v>
          </cell>
          <cell r="AG104">
            <v>0</v>
          </cell>
          <cell r="AH104">
            <v>0</v>
          </cell>
          <cell r="AI104">
            <v>20795.689999999999</v>
          </cell>
          <cell r="AJ104">
            <v>0</v>
          </cell>
          <cell r="AK104">
            <v>0</v>
          </cell>
        </row>
        <row r="106">
          <cell r="AF106">
            <v>315170</v>
          </cell>
          <cell r="AG106">
            <v>0</v>
          </cell>
          <cell r="AH106">
            <v>0</v>
          </cell>
          <cell r="AI106">
            <v>314250.81999999995</v>
          </cell>
          <cell r="AJ106">
            <v>0</v>
          </cell>
          <cell r="AK106">
            <v>0</v>
          </cell>
        </row>
        <row r="112">
          <cell r="AF112">
            <v>139420</v>
          </cell>
          <cell r="AG112">
            <v>0</v>
          </cell>
          <cell r="AH112">
            <v>0</v>
          </cell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F24">
            <v>639645</v>
          </cell>
          <cell r="AG24">
            <v>0</v>
          </cell>
          <cell r="AH24">
            <v>218000</v>
          </cell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F4">
            <v>2733939</v>
          </cell>
          <cell r="AG4">
            <v>92500</v>
          </cell>
          <cell r="AH4">
            <v>0</v>
          </cell>
          <cell r="AI4">
            <v>2603004.8899999992</v>
          </cell>
          <cell r="AJ4">
            <v>22853.4</v>
          </cell>
          <cell r="AK4">
            <v>0</v>
          </cell>
        </row>
        <row r="102">
          <cell r="AF102">
            <v>452514</v>
          </cell>
          <cell r="AG102">
            <v>33950</v>
          </cell>
          <cell r="AH102"/>
          <cell r="AI102">
            <v>452502.95</v>
          </cell>
          <cell r="AJ102">
            <v>33950</v>
          </cell>
          <cell r="AK102"/>
        </row>
        <row r="103">
          <cell r="AF103">
            <v>222625</v>
          </cell>
          <cell r="AG103">
            <v>0</v>
          </cell>
          <cell r="AH103">
            <v>1061200</v>
          </cell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4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RowHeight="15" x14ac:dyDescent="0.25"/>
  <cols>
    <col min="1" max="1" width="67.85546875" style="314" customWidth="1"/>
    <col min="2" max="3" width="24.28515625" style="630" customWidth="1"/>
    <col min="4" max="4" width="24.28515625" style="619" customWidth="1"/>
    <col min="5" max="5" width="24.28515625" style="630" customWidth="1"/>
    <col min="6" max="6" width="16.140625" bestFit="1" customWidth="1"/>
    <col min="7" max="7" width="12.7109375" bestFit="1" customWidth="1"/>
  </cols>
  <sheetData>
    <row r="1" spans="1:13" ht="28.5" customHeight="1" thickBot="1" x14ac:dyDescent="0.45">
      <c r="A1" s="740" t="s">
        <v>650</v>
      </c>
      <c r="B1" s="740"/>
      <c r="C1" s="740"/>
      <c r="D1" s="740"/>
      <c r="E1" s="740"/>
    </row>
    <row r="2" spans="1:13" ht="21" thickBot="1" x14ac:dyDescent="0.35">
      <c r="A2" s="299" t="s">
        <v>404</v>
      </c>
      <c r="B2" s="352" t="s">
        <v>616</v>
      </c>
      <c r="C2" s="352" t="s">
        <v>634</v>
      </c>
      <c r="D2" s="251" t="s">
        <v>654</v>
      </c>
      <c r="E2" s="352" t="s">
        <v>655</v>
      </c>
    </row>
    <row r="3" spans="1:13" ht="18.75" thickBot="1" x14ac:dyDescent="0.3">
      <c r="A3" s="300" t="s">
        <v>406</v>
      </c>
      <c r="B3" s="353">
        <f>B4+B18</f>
        <v>26143572.420000002</v>
      </c>
      <c r="C3" s="353">
        <f>C4+C18</f>
        <v>26547660.909999996</v>
      </c>
      <c r="D3" s="301">
        <f t="shared" ref="D3:E3" si="0">D4+D18</f>
        <v>30090860</v>
      </c>
      <c r="E3" s="353">
        <f t="shared" si="0"/>
        <v>28470275.990000002</v>
      </c>
      <c r="F3" s="627"/>
    </row>
    <row r="4" spans="1:13" ht="18" x14ac:dyDescent="0.25">
      <c r="A4" s="302" t="s">
        <v>5</v>
      </c>
      <c r="B4" s="354">
        <f t="shared" ref="B4" si="1">B5+B7+B9</f>
        <v>12724485.52</v>
      </c>
      <c r="C4" s="354">
        <f t="shared" ref="C4:E4" si="2">C5+C7+C9</f>
        <v>12446823.950000001</v>
      </c>
      <c r="D4" s="303">
        <f t="shared" si="2"/>
        <v>11868588</v>
      </c>
      <c r="E4" s="354">
        <f t="shared" si="2"/>
        <v>11711263.68</v>
      </c>
      <c r="F4" s="627"/>
    </row>
    <row r="5" spans="1:13" ht="18" x14ac:dyDescent="0.25">
      <c r="A5" s="304" t="s">
        <v>6</v>
      </c>
      <c r="B5" s="355">
        <f t="shared" ref="B5:E5" si="3">SUM(B6)</f>
        <v>10016762.65</v>
      </c>
      <c r="C5" s="355">
        <f t="shared" si="3"/>
        <v>9736601.2599999998</v>
      </c>
      <c r="D5" s="259">
        <f t="shared" si="3"/>
        <v>8015838</v>
      </c>
      <c r="E5" s="355">
        <f t="shared" si="3"/>
        <v>7963498.3499999996</v>
      </c>
      <c r="F5" s="627"/>
      <c r="G5" s="617"/>
      <c r="H5" s="617"/>
      <c r="I5" s="617"/>
      <c r="J5" s="617"/>
      <c r="K5" s="617"/>
      <c r="L5" s="617"/>
      <c r="M5" s="617"/>
    </row>
    <row r="6" spans="1:13" ht="18" x14ac:dyDescent="0.25">
      <c r="A6" s="305" t="s">
        <v>7</v>
      </c>
      <c r="B6" s="357">
        <v>10016762.65</v>
      </c>
      <c r="C6" s="357">
        <v>9736601.2599999998</v>
      </c>
      <c r="D6" s="310">
        <v>8015838</v>
      </c>
      <c r="E6" s="357">
        <v>7963498.3499999996</v>
      </c>
      <c r="F6" s="627"/>
      <c r="G6" s="689"/>
    </row>
    <row r="7" spans="1:13" ht="18" x14ac:dyDescent="0.25">
      <c r="A7" s="306" t="s">
        <v>8</v>
      </c>
      <c r="B7" s="355">
        <f t="shared" ref="B7:E7" si="4">SUM(B8)</f>
        <v>1565831.19</v>
      </c>
      <c r="C7" s="355">
        <f t="shared" si="4"/>
        <v>1574996.29</v>
      </c>
      <c r="D7" s="259">
        <f t="shared" si="4"/>
        <v>1925600</v>
      </c>
      <c r="E7" s="355">
        <f t="shared" si="4"/>
        <v>1915781.59</v>
      </c>
      <c r="F7" s="627"/>
    </row>
    <row r="8" spans="1:13" ht="18" x14ac:dyDescent="0.25">
      <c r="A8" s="307" t="s">
        <v>9</v>
      </c>
      <c r="B8" s="357">
        <v>1565831.19</v>
      </c>
      <c r="C8" s="357">
        <v>1574996.29</v>
      </c>
      <c r="D8" s="310">
        <v>1925600</v>
      </c>
      <c r="E8" s="357">
        <v>1915781.59</v>
      </c>
      <c r="F8" s="627"/>
    </row>
    <row r="9" spans="1:13" ht="18" x14ac:dyDescent="0.25">
      <c r="A9" s="306" t="s">
        <v>10</v>
      </c>
      <c r="B9" s="355">
        <f t="shared" ref="B9" si="5">SUM(B10:B17)</f>
        <v>1141891.6800000002</v>
      </c>
      <c r="C9" s="355">
        <f t="shared" ref="C9:E9" si="6">SUM(C10:C17)</f>
        <v>1135226.4000000001</v>
      </c>
      <c r="D9" s="259">
        <f t="shared" si="6"/>
        <v>1927150</v>
      </c>
      <c r="E9" s="355">
        <f t="shared" si="6"/>
        <v>1831983.7399999998</v>
      </c>
      <c r="F9" s="627"/>
    </row>
    <row r="10" spans="1:13" ht="18" x14ac:dyDescent="0.25">
      <c r="A10" s="308" t="s">
        <v>11</v>
      </c>
      <c r="B10" s="628">
        <v>20196.64</v>
      </c>
      <c r="C10" s="628">
        <v>19154.080000000002</v>
      </c>
      <c r="D10" s="391">
        <v>18400</v>
      </c>
      <c r="E10" s="628">
        <v>18305.93</v>
      </c>
      <c r="F10" s="627"/>
    </row>
    <row r="11" spans="1:13" ht="18" x14ac:dyDescent="0.25">
      <c r="A11" s="308" t="s">
        <v>674</v>
      </c>
      <c r="B11" s="628"/>
      <c r="C11" s="628"/>
      <c r="D11" s="391">
        <v>2000</v>
      </c>
      <c r="E11" s="628">
        <f>166.66+1774.99</f>
        <v>1941.65</v>
      </c>
      <c r="F11" s="627"/>
    </row>
    <row r="12" spans="1:13" ht="18" x14ac:dyDescent="0.25">
      <c r="A12" s="308" t="s">
        <v>428</v>
      </c>
      <c r="B12" s="628">
        <v>25073.4</v>
      </c>
      <c r="C12" s="628">
        <v>18863.8</v>
      </c>
      <c r="D12" s="391">
        <v>29000</v>
      </c>
      <c r="E12" s="628">
        <v>27292.2</v>
      </c>
      <c r="F12" s="627"/>
    </row>
    <row r="13" spans="1:13" ht="18" x14ac:dyDescent="0.25">
      <c r="A13" s="308" t="s">
        <v>12</v>
      </c>
      <c r="B13" s="628">
        <v>151851.64000000001</v>
      </c>
      <c r="C13" s="628">
        <v>152222.14000000001</v>
      </c>
      <c r="D13" s="391">
        <v>160000</v>
      </c>
      <c r="E13" s="628">
        <v>152188.72</v>
      </c>
      <c r="F13" s="627"/>
    </row>
    <row r="14" spans="1:13" ht="18" x14ac:dyDescent="0.25">
      <c r="A14" s="308" t="s">
        <v>13</v>
      </c>
      <c r="B14" s="628">
        <v>12432.75</v>
      </c>
      <c r="C14" s="628">
        <v>10227.01</v>
      </c>
      <c r="D14" s="391">
        <v>16000</v>
      </c>
      <c r="E14" s="628">
        <v>9712.2199999999993</v>
      </c>
      <c r="F14" s="627"/>
    </row>
    <row r="15" spans="1:13" ht="18" x14ac:dyDescent="0.25">
      <c r="A15" s="308" t="s">
        <v>14</v>
      </c>
      <c r="B15" s="628">
        <v>676788.74</v>
      </c>
      <c r="C15" s="628">
        <v>674779.16</v>
      </c>
      <c r="D15" s="391">
        <v>1186950</v>
      </c>
      <c r="E15" s="628">
        <v>1108131.2</v>
      </c>
      <c r="F15" s="627"/>
    </row>
    <row r="16" spans="1:13" ht="18" x14ac:dyDescent="0.25">
      <c r="A16" s="308" t="s">
        <v>15</v>
      </c>
      <c r="B16" s="358">
        <v>210763.51</v>
      </c>
      <c r="C16" s="358">
        <v>202790.21</v>
      </c>
      <c r="D16" s="260">
        <v>410000</v>
      </c>
      <c r="E16" s="358">
        <v>409640.16</v>
      </c>
      <c r="F16" s="627"/>
    </row>
    <row r="17" spans="1:6" ht="18" x14ac:dyDescent="0.25">
      <c r="A17" s="308" t="s">
        <v>549</v>
      </c>
      <c r="B17" s="629">
        <v>44785</v>
      </c>
      <c r="C17" s="629">
        <v>57190</v>
      </c>
      <c r="D17" s="392">
        <v>104800</v>
      </c>
      <c r="E17" s="629">
        <v>104771.66</v>
      </c>
      <c r="F17" s="627"/>
    </row>
    <row r="18" spans="1:6" s="339" customFormat="1" ht="18.75" x14ac:dyDescent="0.3">
      <c r="A18" s="309" t="s">
        <v>16</v>
      </c>
      <c r="B18" s="356">
        <f>B19+B32+B55+B65</f>
        <v>13419086.9</v>
      </c>
      <c r="C18" s="356">
        <f>C19+C32+C55+C65</f>
        <v>14100836.959999997</v>
      </c>
      <c r="D18" s="340">
        <f>D19+D32+D55+D65</f>
        <v>18222272</v>
      </c>
      <c r="E18" s="356">
        <f>E19+E32+E55+E65</f>
        <v>16759012.310000002</v>
      </c>
      <c r="F18" s="627"/>
    </row>
    <row r="19" spans="1:6" ht="18" x14ac:dyDescent="0.25">
      <c r="A19" s="304" t="s">
        <v>17</v>
      </c>
      <c r="B19" s="355">
        <f t="shared" ref="B19" si="7">SUM(B20:B31)</f>
        <v>1159808.9099999999</v>
      </c>
      <c r="C19" s="355">
        <f>SUM(C20:C31)</f>
        <v>1242841.8599999999</v>
      </c>
      <c r="D19" s="259">
        <f>SUM(D20:D31)</f>
        <v>1207928</v>
      </c>
      <c r="E19" s="355">
        <f>SUM(E20:E31)</f>
        <v>798438.96999999986</v>
      </c>
      <c r="F19" s="627"/>
    </row>
    <row r="20" spans="1:6" ht="18" x14ac:dyDescent="0.25">
      <c r="A20" s="305" t="s">
        <v>18</v>
      </c>
      <c r="B20" s="358">
        <v>92087.73</v>
      </c>
      <c r="C20" s="358">
        <v>120527.48</v>
      </c>
      <c r="D20" s="260">
        <v>100000</v>
      </c>
      <c r="E20" s="358">
        <v>87557.94</v>
      </c>
      <c r="F20" s="627"/>
    </row>
    <row r="21" spans="1:6" ht="18" x14ac:dyDescent="0.25">
      <c r="A21" s="305" t="s">
        <v>411</v>
      </c>
      <c r="B21" s="358">
        <v>17266.5</v>
      </c>
      <c r="C21" s="358">
        <v>22925.5</v>
      </c>
      <c r="D21" s="260">
        <v>30000</v>
      </c>
      <c r="E21" s="358">
        <v>21043.5</v>
      </c>
      <c r="F21" s="627"/>
    </row>
    <row r="22" spans="1:6" s="400" customFormat="1" ht="18" x14ac:dyDescent="0.25">
      <c r="A22" s="308" t="s">
        <v>590</v>
      </c>
      <c r="B22" s="358">
        <f>14654.9+12261.57+6008.57+5500+25643.27</f>
        <v>64068.31</v>
      </c>
      <c r="C22" s="358">
        <f>31.55+9024.19+5500+6669.78+20760+11978.87</f>
        <v>53964.390000000007</v>
      </c>
      <c r="D22" s="260">
        <f>5500+15542+13130+6756+9500+9500</f>
        <v>59928</v>
      </c>
      <c r="E22" s="358">
        <f>5500+15274.81+12611.71+4297.69+388.27+9084.36</f>
        <v>47156.84</v>
      </c>
      <c r="F22" s="627"/>
    </row>
    <row r="23" spans="1:6" ht="18" x14ac:dyDescent="0.25">
      <c r="A23" s="305" t="s">
        <v>19</v>
      </c>
      <c r="B23" s="358">
        <v>3405.08</v>
      </c>
      <c r="C23" s="358">
        <v>8514.2999999999993</v>
      </c>
      <c r="D23" s="260">
        <v>10000</v>
      </c>
      <c r="E23" s="358">
        <v>8537.65</v>
      </c>
      <c r="F23" s="627"/>
    </row>
    <row r="24" spans="1:6" ht="18" x14ac:dyDescent="0.25">
      <c r="A24" s="305" t="s">
        <v>20</v>
      </c>
      <c r="B24" s="358"/>
      <c r="C24" s="358"/>
      <c r="D24" s="260">
        <v>200</v>
      </c>
      <c r="E24" s="358">
        <v>60</v>
      </c>
      <c r="F24" s="627"/>
    </row>
    <row r="25" spans="1:6" ht="18" x14ac:dyDescent="0.25">
      <c r="A25" s="305" t="s">
        <v>534</v>
      </c>
      <c r="B25" s="358">
        <v>866239.85</v>
      </c>
      <c r="C25" s="358">
        <v>885595.44</v>
      </c>
      <c r="D25" s="260">
        <v>850000</v>
      </c>
      <c r="E25" s="358">
        <v>492772.92</v>
      </c>
      <c r="F25" s="627"/>
    </row>
    <row r="26" spans="1:6" ht="18" x14ac:dyDescent="0.25">
      <c r="A26" s="305" t="s">
        <v>22</v>
      </c>
      <c r="B26" s="358">
        <v>17426.240000000002</v>
      </c>
      <c r="C26" s="358">
        <v>24536.560000000001</v>
      </c>
      <c r="D26" s="260">
        <v>30000</v>
      </c>
      <c r="E26" s="358">
        <v>27428.26</v>
      </c>
      <c r="F26" s="627"/>
    </row>
    <row r="27" spans="1:6" ht="18" x14ac:dyDescent="0.25">
      <c r="A27" s="305" t="s">
        <v>23</v>
      </c>
      <c r="B27" s="358">
        <v>5052.62</v>
      </c>
      <c r="C27" s="358">
        <v>9914.24</v>
      </c>
      <c r="D27" s="260">
        <v>12000</v>
      </c>
      <c r="E27" s="358">
        <v>9237.3799999999992</v>
      </c>
      <c r="F27" s="627"/>
    </row>
    <row r="28" spans="1:6" ht="18" x14ac:dyDescent="0.25">
      <c r="A28" s="305" t="s">
        <v>24</v>
      </c>
      <c r="B28" s="358">
        <v>5732.74</v>
      </c>
      <c r="C28" s="358">
        <v>5462.72</v>
      </c>
      <c r="D28" s="260">
        <v>6000</v>
      </c>
      <c r="E28" s="358">
        <v>5682.72</v>
      </c>
      <c r="F28" s="627"/>
    </row>
    <row r="29" spans="1:6" ht="18" x14ac:dyDescent="0.25">
      <c r="A29" s="305" t="s">
        <v>25</v>
      </c>
      <c r="B29" s="358">
        <v>24982.400000000001</v>
      </c>
      <c r="C29" s="358">
        <v>24209.3</v>
      </c>
      <c r="D29" s="260">
        <v>25000</v>
      </c>
      <c r="E29" s="358">
        <v>24882.2</v>
      </c>
      <c r="F29" s="627"/>
    </row>
    <row r="30" spans="1:6" ht="18" x14ac:dyDescent="0.25">
      <c r="A30" s="305" t="s">
        <v>26</v>
      </c>
      <c r="B30" s="358">
        <v>38828.400000000001</v>
      </c>
      <c r="C30" s="358">
        <v>53911.9</v>
      </c>
      <c r="D30" s="260">
        <v>55000</v>
      </c>
      <c r="E30" s="358">
        <v>54260.98</v>
      </c>
      <c r="F30" s="627"/>
    </row>
    <row r="31" spans="1:6" ht="18" x14ac:dyDescent="0.25">
      <c r="A31" s="307" t="s">
        <v>28</v>
      </c>
      <c r="B31" s="357">
        <v>24719.040000000001</v>
      </c>
      <c r="C31" s="357">
        <v>33280.03</v>
      </c>
      <c r="D31" s="310">
        <v>29800</v>
      </c>
      <c r="E31" s="357">
        <v>19818.580000000002</v>
      </c>
      <c r="F31" s="627"/>
    </row>
    <row r="32" spans="1:6" s="334" customFormat="1" ht="18" x14ac:dyDescent="0.25">
      <c r="A32" s="304" t="s">
        <v>29</v>
      </c>
      <c r="B32" s="355">
        <f>SUM(B33:B54)</f>
        <v>1855017.76</v>
      </c>
      <c r="C32" s="355">
        <f>SUM(C33:C54)</f>
        <v>1844219.2799999998</v>
      </c>
      <c r="D32" s="259">
        <f>SUM(D33:D54)</f>
        <v>2431094</v>
      </c>
      <c r="E32" s="355">
        <f>SUM(E33:E54)</f>
        <v>2104994.73</v>
      </c>
      <c r="F32" s="627"/>
    </row>
    <row r="33" spans="1:6" ht="18" x14ac:dyDescent="0.25">
      <c r="A33" s="305" t="s">
        <v>30</v>
      </c>
      <c r="B33" s="358">
        <v>100</v>
      </c>
      <c r="C33" s="358">
        <v>100</v>
      </c>
      <c r="D33" s="260">
        <v>1000</v>
      </c>
      <c r="E33" s="358">
        <v>200</v>
      </c>
      <c r="F33" s="627"/>
    </row>
    <row r="34" spans="1:6" ht="18" x14ac:dyDescent="0.25">
      <c r="A34" s="305" t="s">
        <v>31</v>
      </c>
      <c r="B34" s="358">
        <v>21126.5</v>
      </c>
      <c r="C34" s="358">
        <v>35405.4</v>
      </c>
      <c r="D34" s="260">
        <v>60000</v>
      </c>
      <c r="E34" s="358">
        <v>59786.5</v>
      </c>
      <c r="F34" s="627"/>
    </row>
    <row r="35" spans="1:6" ht="18" x14ac:dyDescent="0.25">
      <c r="A35" s="305" t="s">
        <v>32</v>
      </c>
      <c r="B35" s="358">
        <v>5448</v>
      </c>
      <c r="C35" s="358">
        <v>6672.5</v>
      </c>
      <c r="D35" s="260">
        <v>7000</v>
      </c>
      <c r="E35" s="358">
        <v>5965</v>
      </c>
      <c r="F35" s="627"/>
    </row>
    <row r="36" spans="1:6" ht="18" x14ac:dyDescent="0.25">
      <c r="A36" s="305" t="s">
        <v>530</v>
      </c>
      <c r="B36" s="358">
        <v>1040</v>
      </c>
      <c r="C36" s="358">
        <v>1395.5</v>
      </c>
      <c r="D36" s="260">
        <v>1500</v>
      </c>
      <c r="E36" s="358">
        <v>1232</v>
      </c>
      <c r="F36" s="627"/>
    </row>
    <row r="37" spans="1:6" ht="18" x14ac:dyDescent="0.25">
      <c r="A37" s="305" t="s">
        <v>34</v>
      </c>
      <c r="B37" s="358">
        <v>394</v>
      </c>
      <c r="C37" s="358">
        <v>552</v>
      </c>
      <c r="D37" s="260">
        <v>1000</v>
      </c>
      <c r="E37" s="358">
        <v>550</v>
      </c>
      <c r="F37" s="627"/>
    </row>
    <row r="38" spans="1:6" ht="18" x14ac:dyDescent="0.25">
      <c r="A38" s="305" t="s">
        <v>35</v>
      </c>
      <c r="B38" s="358">
        <v>25465</v>
      </c>
      <c r="C38" s="358">
        <v>26142</v>
      </c>
      <c r="D38" s="260">
        <v>27000</v>
      </c>
      <c r="E38" s="358">
        <v>26374</v>
      </c>
      <c r="F38" s="627"/>
    </row>
    <row r="39" spans="1:6" ht="18" x14ac:dyDescent="0.25">
      <c r="A39" s="305" t="s">
        <v>587</v>
      </c>
      <c r="B39" s="358">
        <v>30983.55</v>
      </c>
      <c r="C39" s="358">
        <v>45062.68</v>
      </c>
      <c r="D39" s="260">
        <v>69000</v>
      </c>
      <c r="E39" s="358">
        <v>61490.17</v>
      </c>
      <c r="F39" s="627"/>
    </row>
    <row r="40" spans="1:6" ht="18" x14ac:dyDescent="0.25">
      <c r="A40" s="305" t="s">
        <v>425</v>
      </c>
      <c r="B40" s="358">
        <v>568.11</v>
      </c>
      <c r="C40" s="358">
        <v>12029.15</v>
      </c>
      <c r="D40" s="260">
        <v>7000</v>
      </c>
      <c r="E40" s="358">
        <v>1131.55</v>
      </c>
      <c r="F40" s="627"/>
    </row>
    <row r="41" spans="1:6" ht="18" x14ac:dyDescent="0.25">
      <c r="A41" s="305" t="s">
        <v>38</v>
      </c>
      <c r="B41" s="358">
        <v>24149.3</v>
      </c>
      <c r="C41" s="358">
        <v>16924.14</v>
      </c>
      <c r="D41" s="260">
        <v>26400</v>
      </c>
      <c r="E41" s="358">
        <v>26359.01</v>
      </c>
      <c r="F41" s="627"/>
    </row>
    <row r="42" spans="1:6" ht="18" x14ac:dyDescent="0.25">
      <c r="A42" s="305" t="s">
        <v>39</v>
      </c>
      <c r="B42" s="358">
        <v>2750.68</v>
      </c>
      <c r="C42" s="358">
        <v>4785.93</v>
      </c>
      <c r="D42" s="260">
        <v>6000</v>
      </c>
      <c r="E42" s="358">
        <v>4562.5</v>
      </c>
      <c r="F42" s="627"/>
    </row>
    <row r="43" spans="1:6" ht="18" x14ac:dyDescent="0.25">
      <c r="A43" s="311" t="s">
        <v>41</v>
      </c>
      <c r="B43" s="358">
        <v>15590.24</v>
      </c>
      <c r="C43" s="358">
        <v>15931.47</v>
      </c>
      <c r="D43" s="260">
        <v>17050</v>
      </c>
      <c r="E43" s="358">
        <v>17047.939999999999</v>
      </c>
      <c r="F43" s="627"/>
    </row>
    <row r="44" spans="1:6" ht="18" x14ac:dyDescent="0.25">
      <c r="A44" s="305" t="s">
        <v>44</v>
      </c>
      <c r="B44" s="358">
        <v>85591.15</v>
      </c>
      <c r="C44" s="358">
        <v>67916.58</v>
      </c>
      <c r="D44" s="260">
        <v>96000</v>
      </c>
      <c r="E44" s="358">
        <v>59843</v>
      </c>
      <c r="F44" s="627"/>
    </row>
    <row r="45" spans="1:6" ht="18" x14ac:dyDescent="0.25">
      <c r="A45" s="305" t="s">
        <v>45</v>
      </c>
      <c r="B45" s="358">
        <v>82577.83</v>
      </c>
      <c r="C45" s="358">
        <v>77097.100000000006</v>
      </c>
      <c r="D45" s="260">
        <v>100000</v>
      </c>
      <c r="E45" s="358">
        <v>93225.88</v>
      </c>
      <c r="F45" s="627"/>
    </row>
    <row r="46" spans="1:6" ht="18" x14ac:dyDescent="0.25">
      <c r="A46" s="305" t="s">
        <v>452</v>
      </c>
      <c r="B46" s="358">
        <v>6020.11</v>
      </c>
      <c r="C46" s="358">
        <v>5901.74</v>
      </c>
      <c r="D46" s="260">
        <v>18550</v>
      </c>
      <c r="E46" s="358">
        <v>8367.7000000000007</v>
      </c>
      <c r="F46" s="627"/>
    </row>
    <row r="47" spans="1:6" ht="18" x14ac:dyDescent="0.25">
      <c r="A47" s="305" t="s">
        <v>427</v>
      </c>
      <c r="B47" s="358">
        <v>6795</v>
      </c>
      <c r="C47" s="358">
        <v>10563</v>
      </c>
      <c r="D47" s="260">
        <v>11500</v>
      </c>
      <c r="E47" s="358">
        <v>11389</v>
      </c>
      <c r="F47" s="627"/>
    </row>
    <row r="48" spans="1:6" ht="18" x14ac:dyDescent="0.25">
      <c r="A48" s="305" t="s">
        <v>51</v>
      </c>
      <c r="B48" s="358">
        <v>10315.200000000001</v>
      </c>
      <c r="C48" s="358">
        <v>48627</v>
      </c>
      <c r="D48" s="260">
        <v>65000</v>
      </c>
      <c r="E48" s="358">
        <v>64689</v>
      </c>
      <c r="F48" s="627"/>
    </row>
    <row r="49" spans="1:7" ht="18" x14ac:dyDescent="0.25">
      <c r="A49" s="305" t="s">
        <v>429</v>
      </c>
      <c r="B49" s="358">
        <v>420846.2</v>
      </c>
      <c r="C49" s="358">
        <v>464834.7</v>
      </c>
      <c r="D49" s="260">
        <v>550000</v>
      </c>
      <c r="E49" s="358">
        <v>525844.46</v>
      </c>
      <c r="F49" s="627"/>
    </row>
    <row r="50" spans="1:7" ht="18" x14ac:dyDescent="0.25">
      <c r="A50" s="305" t="s">
        <v>577</v>
      </c>
      <c r="B50" s="358">
        <v>213279.49</v>
      </c>
      <c r="C50" s="358">
        <v>220024.48</v>
      </c>
      <c r="D50" s="260">
        <v>260000</v>
      </c>
      <c r="E50" s="358">
        <v>230523.76</v>
      </c>
      <c r="F50" s="627"/>
    </row>
    <row r="51" spans="1:7" ht="18" x14ac:dyDescent="0.25">
      <c r="A51" s="305" t="s">
        <v>434</v>
      </c>
      <c r="B51" s="358">
        <v>5793.9</v>
      </c>
      <c r="C51" s="358">
        <v>6929</v>
      </c>
      <c r="D51" s="260">
        <v>8878</v>
      </c>
      <c r="E51" s="358">
        <v>6467.1</v>
      </c>
      <c r="F51" s="627"/>
    </row>
    <row r="52" spans="1:7" s="400" customFormat="1" ht="18" x14ac:dyDescent="0.25">
      <c r="A52" s="308" t="s">
        <v>589</v>
      </c>
      <c r="B52" s="358">
        <f>3645.45+11552.2+20978.46+56149.3+4847.4+46456.72+5986.05+17393+14355.9+13620+18857.1+35211.52+18650+18010+15626.5+62960+38202.94</f>
        <v>402502.54</v>
      </c>
      <c r="C52" s="358">
        <f>66849.24+13650.35+17186.6+36030+18081.87+17940+18630+6613.95+3931.12+16841.03+78363+4349.05+13848+7800+16200+1488+11117.15+35654.36+13826.25+10771.2+24309.98+16877.8</f>
        <v>450358.95</v>
      </c>
      <c r="D52" s="260">
        <f>15061+15566+36486+16421+19147+19674+6050+21400+28800+3000+70470+14900+62905+10296+38822+22250+108768+81000</f>
        <v>591016</v>
      </c>
      <c r="E52" s="358">
        <f>14250+15565.2+36323.35+16420+18450+19570+4950.8+14779+28800+2149.69+64309.21+8498.85+55055.44+10291.05+37297.2+18014.85+101944+64112.15</f>
        <v>530780.79</v>
      </c>
      <c r="F52" s="627"/>
      <c r="G52" s="436"/>
    </row>
    <row r="53" spans="1:7" s="400" customFormat="1" ht="18" x14ac:dyDescent="0.25">
      <c r="A53" s="308" t="s">
        <v>458</v>
      </c>
      <c r="B53" s="358">
        <f>25441.88+35150.94+94609.62+56018.15+84348.77+21724.5+41620.64+51663.1+29058.94+26889.22+26377.2</f>
        <v>492902.96</v>
      </c>
      <c r="C53" s="358">
        <f>19842.34+37539.67+50446.17+23628.65+25631.09+24063.14+20768.64+16722.3+17620.07+29962.5+60741.39</f>
        <v>326965.96000000002</v>
      </c>
      <c r="D53" s="260">
        <f>24560+42340+55360+31710+30615+31500+38000+51200+59100+35000+95000+10815</f>
        <v>505200</v>
      </c>
      <c r="E53" s="358">
        <f>21176.2+36820.23+51873.08+24219.39+27660.65+29349.73+18472.03+25549.77+33141.62+31789.9+69112.77</f>
        <v>369165.37000000005</v>
      </c>
      <c r="F53" s="627"/>
      <c r="G53" s="436"/>
    </row>
    <row r="54" spans="1:7" s="400" customFormat="1" ht="18" x14ac:dyDescent="0.25">
      <c r="A54" s="308" t="s">
        <v>55</v>
      </c>
      <c r="B54" s="357">
        <v>778</v>
      </c>
      <c r="C54" s="357">
        <v>0</v>
      </c>
      <c r="D54" s="310">
        <v>2000</v>
      </c>
      <c r="E54" s="357">
        <v>0</v>
      </c>
      <c r="F54" s="627"/>
    </row>
    <row r="55" spans="1:7" s="400" customFormat="1" ht="18" x14ac:dyDescent="0.25">
      <c r="A55" s="306" t="s">
        <v>573</v>
      </c>
      <c r="B55" s="355">
        <f t="shared" ref="B55" si="8">SUM(B56:B64)</f>
        <v>254104.39999999997</v>
      </c>
      <c r="C55" s="355">
        <f t="shared" ref="C55:E55" si="9">SUM(C56:C64)</f>
        <v>552229.06000000006</v>
      </c>
      <c r="D55" s="259">
        <f t="shared" si="9"/>
        <v>423878</v>
      </c>
      <c r="E55" s="355">
        <f t="shared" si="9"/>
        <v>370564.12999999995</v>
      </c>
      <c r="F55" s="627"/>
    </row>
    <row r="56" spans="1:7" s="400" customFormat="1" ht="18" x14ac:dyDescent="0.25">
      <c r="A56" s="308" t="s">
        <v>433</v>
      </c>
      <c r="B56" s="358">
        <v>116959.59</v>
      </c>
      <c r="C56" s="358">
        <v>146809.06</v>
      </c>
      <c r="D56" s="260">
        <v>98900</v>
      </c>
      <c r="E56" s="358">
        <v>97587.12</v>
      </c>
      <c r="F56" s="627"/>
    </row>
    <row r="57" spans="1:7" s="400" customFormat="1" ht="18" x14ac:dyDescent="0.25">
      <c r="A57" s="308" t="s">
        <v>531</v>
      </c>
      <c r="B57" s="358">
        <v>67080.070000000007</v>
      </c>
      <c r="C57" s="358">
        <v>9910.69</v>
      </c>
      <c r="D57" s="260">
        <v>2800</v>
      </c>
      <c r="E57" s="358">
        <v>2724.16</v>
      </c>
      <c r="F57" s="627"/>
    </row>
    <row r="58" spans="1:7" s="400" customFormat="1" ht="18" x14ac:dyDescent="0.25">
      <c r="A58" s="308" t="s">
        <v>426</v>
      </c>
      <c r="B58" s="358">
        <f>339.4+729.18</f>
        <v>1068.58</v>
      </c>
      <c r="C58" s="358">
        <v>157006.64000000001</v>
      </c>
      <c r="D58" s="260">
        <v>60950</v>
      </c>
      <c r="E58" s="358">
        <v>60826.69</v>
      </c>
      <c r="F58" s="627"/>
    </row>
    <row r="59" spans="1:7" s="400" customFormat="1" ht="18" x14ac:dyDescent="0.25">
      <c r="A59" s="308" t="s">
        <v>453</v>
      </c>
      <c r="B59" s="358">
        <v>6819.33</v>
      </c>
      <c r="C59" s="358">
        <v>13009.76</v>
      </c>
      <c r="D59" s="260">
        <v>3100</v>
      </c>
      <c r="E59" s="358">
        <v>2970.38</v>
      </c>
      <c r="F59" s="627"/>
    </row>
    <row r="60" spans="1:7" s="400" customFormat="1" ht="18" x14ac:dyDescent="0.25">
      <c r="A60" s="308" t="s">
        <v>638</v>
      </c>
      <c r="B60" s="358"/>
      <c r="C60" s="358"/>
      <c r="D60" s="260">
        <v>140000</v>
      </c>
      <c r="E60" s="358">
        <v>107462.97</v>
      </c>
      <c r="F60" s="627"/>
    </row>
    <row r="61" spans="1:7" s="400" customFormat="1" ht="18" x14ac:dyDescent="0.25">
      <c r="A61" s="308" t="s">
        <v>58</v>
      </c>
      <c r="B61" s="358">
        <v>6371.37</v>
      </c>
      <c r="C61" s="358">
        <v>1156.74</v>
      </c>
      <c r="D61" s="260">
        <v>0</v>
      </c>
      <c r="E61" s="358">
        <v>0</v>
      </c>
      <c r="F61" s="627"/>
    </row>
    <row r="62" spans="1:7" s="400" customFormat="1" ht="18" x14ac:dyDescent="0.25">
      <c r="A62" s="308" t="s">
        <v>584</v>
      </c>
      <c r="B62" s="358">
        <v>22853.89</v>
      </c>
      <c r="C62" s="358">
        <v>163460.07</v>
      </c>
      <c r="D62" s="260">
        <v>25950</v>
      </c>
      <c r="E62" s="358">
        <v>15742.1</v>
      </c>
      <c r="F62" s="627"/>
    </row>
    <row r="63" spans="1:7" s="400" customFormat="1" ht="18" x14ac:dyDescent="0.25">
      <c r="A63" s="308" t="s">
        <v>578</v>
      </c>
      <c r="B63" s="358">
        <f>3.89+974.89+544.7+1523.6+11398.15+652.71+1764.8+233.13+3416.28+4137.5+27.21+2278.5+2047.75+57.47+2069.55+1593.8</f>
        <v>32723.929999999997</v>
      </c>
      <c r="C63" s="358">
        <f>1802+355.7+2805.15+5879.3+4435.7+3298.49+607.5+2110.65+2374.69+67.21+2242.2+1720.99+67.01+2128.35+2109.77+3.82+6023.98+157.64+830+13947.5+3279.53+1.3+40+2800+600</f>
        <v>59688.480000000003</v>
      </c>
      <c r="D63" s="260">
        <f>2000+2939+4749+5185+4748+4366+2374+2205+2680+2673+2566+1760+400+3750+40+6418+9200+1000+2000+5648+14791+5382+2450+1232</f>
        <v>90556</v>
      </c>
      <c r="E63" s="358">
        <f>1940.6+2938.85+3609.2+5184.95+4747.55+4365.07+2351.55+2204.37+2677.25+2672.64+2565.95+1759.63+400+3.59+6416.55+9200+1634.39+3603.38+14640.9+5311.16+2441.09+1231.04</f>
        <v>81899.709999999977</v>
      </c>
      <c r="F63" s="627"/>
    </row>
    <row r="64" spans="1:7" s="400" customFormat="1" ht="18" x14ac:dyDescent="0.25">
      <c r="A64" s="308" t="s">
        <v>579</v>
      </c>
      <c r="B64" s="358">
        <v>227.64</v>
      </c>
      <c r="C64" s="358">
        <f>224.77+146.5+816.35</f>
        <v>1187.6199999999999</v>
      </c>
      <c r="D64" s="260">
        <f>500+1122</f>
        <v>1622</v>
      </c>
      <c r="E64" s="358">
        <f>229.36+1121.64</f>
        <v>1351</v>
      </c>
      <c r="F64" s="627"/>
    </row>
    <row r="65" spans="1:6" s="587" customFormat="1" ht="18" x14ac:dyDescent="0.25">
      <c r="A65" s="332" t="s">
        <v>66</v>
      </c>
      <c r="B65" s="359">
        <f>SUM(B66:B106)</f>
        <v>10150155.83</v>
      </c>
      <c r="C65" s="359">
        <f>SUM(C66:C106)</f>
        <v>10461546.759999998</v>
      </c>
      <c r="D65" s="333">
        <f>SUM(D66:D106)</f>
        <v>14159372</v>
      </c>
      <c r="E65" s="359">
        <f>SUM(E66:E106)</f>
        <v>13485014.480000002</v>
      </c>
      <c r="F65" s="627"/>
    </row>
    <row r="66" spans="1:6" s="400" customFormat="1" ht="18" x14ac:dyDescent="0.25">
      <c r="A66" s="308" t="s">
        <v>68</v>
      </c>
      <c r="B66" s="358">
        <v>38657.5</v>
      </c>
      <c r="C66" s="358">
        <v>42884</v>
      </c>
      <c r="D66" s="260">
        <v>49456</v>
      </c>
      <c r="E66" s="358">
        <v>44396.82</v>
      </c>
      <c r="F66" s="627"/>
    </row>
    <row r="67" spans="1:6" s="400" customFormat="1" ht="18" x14ac:dyDescent="0.25">
      <c r="A67" s="308" t="s">
        <v>525</v>
      </c>
      <c r="B67" s="358">
        <v>2600</v>
      </c>
      <c r="C67" s="358">
        <v>2150</v>
      </c>
      <c r="D67" s="260">
        <v>2250</v>
      </c>
      <c r="E67" s="358">
        <v>2250</v>
      </c>
      <c r="F67" s="627"/>
    </row>
    <row r="68" spans="1:6" s="400" customFormat="1" ht="18" x14ac:dyDescent="0.25">
      <c r="A68" s="308" t="s">
        <v>446</v>
      </c>
      <c r="B68" s="358">
        <v>1400</v>
      </c>
      <c r="C68" s="358">
        <v>1400</v>
      </c>
      <c r="D68" s="260">
        <v>1400</v>
      </c>
      <c r="E68" s="358">
        <v>1400</v>
      </c>
      <c r="F68" s="627"/>
    </row>
    <row r="69" spans="1:6" s="400" customFormat="1" ht="18" x14ac:dyDescent="0.25">
      <c r="A69" s="308" t="s">
        <v>526</v>
      </c>
      <c r="B69" s="358"/>
      <c r="C69" s="358">
        <v>1800</v>
      </c>
      <c r="D69" s="260"/>
      <c r="E69" s="358"/>
      <c r="F69" s="627"/>
    </row>
    <row r="70" spans="1:6" s="400" customFormat="1" ht="18" x14ac:dyDescent="0.25">
      <c r="A70" s="308" t="s">
        <v>623</v>
      </c>
      <c r="B70" s="358">
        <v>3000</v>
      </c>
      <c r="C70" s="358"/>
      <c r="D70" s="260"/>
      <c r="E70" s="358"/>
      <c r="F70" s="627"/>
    </row>
    <row r="71" spans="1:6" s="400" customFormat="1" ht="18" x14ac:dyDescent="0.25">
      <c r="A71" s="308" t="s">
        <v>624</v>
      </c>
      <c r="B71" s="358">
        <v>1310</v>
      </c>
      <c r="C71" s="358"/>
      <c r="D71" s="260"/>
      <c r="E71" s="358"/>
      <c r="F71" s="627"/>
    </row>
    <row r="72" spans="1:6" s="400" customFormat="1" ht="18" x14ac:dyDescent="0.25">
      <c r="A72" s="308" t="s">
        <v>625</v>
      </c>
      <c r="B72" s="358">
        <v>3318</v>
      </c>
      <c r="C72" s="358"/>
      <c r="D72" s="260"/>
      <c r="E72" s="358"/>
      <c r="F72" s="627"/>
    </row>
    <row r="73" spans="1:6" s="400" customFormat="1" ht="18" x14ac:dyDescent="0.25">
      <c r="A73" s="308" t="s">
        <v>445</v>
      </c>
      <c r="B73" s="358">
        <v>600</v>
      </c>
      <c r="C73" s="358">
        <v>4030</v>
      </c>
      <c r="D73" s="260">
        <v>130</v>
      </c>
      <c r="E73" s="358">
        <v>130</v>
      </c>
      <c r="F73" s="627"/>
    </row>
    <row r="74" spans="1:6" s="400" customFormat="1" ht="18" x14ac:dyDescent="0.25">
      <c r="A74" s="308" t="s">
        <v>585</v>
      </c>
      <c r="B74" s="358">
        <v>15000</v>
      </c>
      <c r="C74" s="358"/>
      <c r="D74" s="260"/>
      <c r="E74" s="358"/>
      <c r="F74" s="627"/>
    </row>
    <row r="75" spans="1:6" s="400" customFormat="1" ht="18" x14ac:dyDescent="0.25">
      <c r="A75" s="410" t="s">
        <v>435</v>
      </c>
      <c r="B75" s="358">
        <v>50196.89</v>
      </c>
      <c r="C75" s="358">
        <v>53237.26</v>
      </c>
      <c r="D75" s="260">
        <v>58400</v>
      </c>
      <c r="E75" s="358">
        <v>52137.5</v>
      </c>
      <c r="F75" s="627"/>
    </row>
    <row r="76" spans="1:6" s="400" customFormat="1" ht="18" x14ac:dyDescent="0.25">
      <c r="A76" s="410" t="s">
        <v>535</v>
      </c>
      <c r="B76" s="358"/>
      <c r="C76" s="358">
        <v>9640.9</v>
      </c>
      <c r="D76" s="260"/>
      <c r="E76" s="358"/>
      <c r="F76" s="627"/>
    </row>
    <row r="77" spans="1:6" s="400" customFormat="1" ht="18" x14ac:dyDescent="0.25">
      <c r="A77" s="410" t="s">
        <v>608</v>
      </c>
      <c r="B77" s="358">
        <v>9869.25</v>
      </c>
      <c r="C77" s="358"/>
      <c r="D77" s="260"/>
      <c r="E77" s="358"/>
      <c r="F77" s="627"/>
    </row>
    <row r="78" spans="1:6" s="400" customFormat="1" ht="18" x14ac:dyDescent="0.25">
      <c r="A78" s="410" t="s">
        <v>619</v>
      </c>
      <c r="B78" s="358">
        <v>7969.88</v>
      </c>
      <c r="C78" s="358">
        <v>1672</v>
      </c>
      <c r="D78" s="260">
        <v>1600</v>
      </c>
      <c r="E78" s="358">
        <v>1471.75</v>
      </c>
      <c r="F78" s="627"/>
    </row>
    <row r="79" spans="1:6" s="400" customFormat="1" ht="18" x14ac:dyDescent="0.25">
      <c r="A79" s="410" t="s">
        <v>620</v>
      </c>
      <c r="B79" s="358">
        <v>15800.4</v>
      </c>
      <c r="C79" s="358">
        <v>5660.68</v>
      </c>
      <c r="D79" s="260"/>
      <c r="E79" s="358"/>
      <c r="F79" s="627"/>
    </row>
    <row r="80" spans="1:6" s="400" customFormat="1" ht="18" x14ac:dyDescent="0.25">
      <c r="A80" s="410" t="s">
        <v>678</v>
      </c>
      <c r="B80" s="358"/>
      <c r="C80" s="358"/>
      <c r="D80" s="260">
        <v>1000</v>
      </c>
      <c r="E80" s="358">
        <v>959.4</v>
      </c>
      <c r="F80" s="627"/>
    </row>
    <row r="81" spans="1:6" s="400" customFormat="1" ht="18" x14ac:dyDescent="0.25">
      <c r="A81" s="410" t="s">
        <v>629</v>
      </c>
      <c r="B81" s="358">
        <v>267444.82</v>
      </c>
      <c r="C81" s="358">
        <v>183322</v>
      </c>
      <c r="D81" s="260"/>
      <c r="E81" s="358"/>
      <c r="F81" s="627"/>
    </row>
    <row r="82" spans="1:6" s="400" customFormat="1" ht="18" x14ac:dyDescent="0.25">
      <c r="A82" s="410" t="s">
        <v>677</v>
      </c>
      <c r="B82" s="358"/>
      <c r="C82" s="358"/>
      <c r="D82" s="260">
        <v>431706</v>
      </c>
      <c r="E82" s="358">
        <v>430817.66</v>
      </c>
      <c r="F82" s="627"/>
    </row>
    <row r="83" spans="1:6" s="400" customFormat="1" ht="18" x14ac:dyDescent="0.25">
      <c r="A83" s="410" t="s">
        <v>626</v>
      </c>
      <c r="B83" s="358">
        <v>397800</v>
      </c>
      <c r="C83" s="358"/>
      <c r="D83" s="260"/>
      <c r="E83" s="358"/>
      <c r="F83" s="627"/>
    </row>
    <row r="84" spans="1:6" s="400" customFormat="1" ht="18" x14ac:dyDescent="0.25">
      <c r="A84" s="410" t="s">
        <v>551</v>
      </c>
      <c r="B84" s="358"/>
      <c r="C84" s="358"/>
      <c r="D84" s="260">
        <v>1000</v>
      </c>
      <c r="E84" s="358">
        <v>1000</v>
      </c>
      <c r="F84" s="627"/>
    </row>
    <row r="85" spans="1:6" s="400" customFormat="1" ht="18" x14ac:dyDescent="0.25">
      <c r="A85" s="308" t="s">
        <v>552</v>
      </c>
      <c r="B85" s="358">
        <v>5680</v>
      </c>
      <c r="C85" s="358">
        <v>8490.4</v>
      </c>
      <c r="D85" s="260">
        <v>10000</v>
      </c>
      <c r="E85" s="358">
        <v>5150</v>
      </c>
      <c r="F85" s="627"/>
    </row>
    <row r="86" spans="1:6" s="400" customFormat="1" ht="18" x14ac:dyDescent="0.25">
      <c r="A86" s="308" t="s">
        <v>553</v>
      </c>
      <c r="B86" s="358">
        <v>398480.9</v>
      </c>
      <c r="C86" s="358">
        <v>363006.92</v>
      </c>
      <c r="D86" s="260">
        <f>395700+34880</f>
        <v>430580</v>
      </c>
      <c r="E86" s="358">
        <v>420275.49</v>
      </c>
      <c r="F86" s="627"/>
    </row>
    <row r="87" spans="1:6" s="400" customFormat="1" ht="18" x14ac:dyDescent="0.25">
      <c r="A87" s="308" t="s">
        <v>554</v>
      </c>
      <c r="B87" s="358">
        <v>614309.16</v>
      </c>
      <c r="C87" s="358">
        <v>632609.24</v>
      </c>
      <c r="D87" s="260">
        <f>675000+16100</f>
        <v>691100</v>
      </c>
      <c r="E87" s="358">
        <v>684163.9</v>
      </c>
      <c r="F87" s="627"/>
    </row>
    <row r="88" spans="1:6" s="400" customFormat="1" ht="18" x14ac:dyDescent="0.25">
      <c r="A88" s="308" t="s">
        <v>555</v>
      </c>
      <c r="B88" s="358">
        <v>18417.25</v>
      </c>
      <c r="C88" s="358">
        <v>20497.349999999999</v>
      </c>
      <c r="D88" s="260">
        <f>21900+1100</f>
        <v>23000</v>
      </c>
      <c r="E88" s="358">
        <f>20672.69+1087.6</f>
        <v>21760.289999999997</v>
      </c>
      <c r="F88" s="627"/>
    </row>
    <row r="89" spans="1:6" s="400" customFormat="1" ht="18" x14ac:dyDescent="0.25">
      <c r="A89" s="410" t="s">
        <v>556</v>
      </c>
      <c r="B89" s="358">
        <v>5758845</v>
      </c>
      <c r="C89" s="358">
        <v>6087657</v>
      </c>
      <c r="D89" s="260">
        <v>9500000</v>
      </c>
      <c r="E89" s="358">
        <v>9241018</v>
      </c>
      <c r="F89" s="627"/>
    </row>
    <row r="90" spans="1:6" s="400" customFormat="1" ht="18" x14ac:dyDescent="0.25">
      <c r="A90" s="410" t="s">
        <v>557</v>
      </c>
      <c r="B90" s="358">
        <v>31577.69</v>
      </c>
      <c r="C90" s="358">
        <v>33520.11</v>
      </c>
      <c r="D90" s="260">
        <f>33180+4320</f>
        <v>37500</v>
      </c>
      <c r="E90" s="358">
        <f>33173.23+4302.4</f>
        <v>37475.630000000005</v>
      </c>
      <c r="F90" s="627"/>
    </row>
    <row r="91" spans="1:6" s="400" customFormat="1" ht="18" x14ac:dyDescent="0.25">
      <c r="A91" s="410" t="s">
        <v>558</v>
      </c>
      <c r="B91" s="358">
        <v>11582.76</v>
      </c>
      <c r="C91" s="358">
        <v>10846.38</v>
      </c>
      <c r="D91" s="260">
        <v>0</v>
      </c>
      <c r="E91" s="358"/>
      <c r="F91" s="627"/>
    </row>
    <row r="92" spans="1:6" s="400" customFormat="1" ht="18" x14ac:dyDescent="0.25">
      <c r="A92" s="410" t="s">
        <v>559</v>
      </c>
      <c r="B92" s="358">
        <v>1574.17</v>
      </c>
      <c r="C92" s="358">
        <v>887.85</v>
      </c>
      <c r="D92" s="260">
        <f>900+1100</f>
        <v>2000</v>
      </c>
      <c r="E92" s="358">
        <f>874.32+1087.6</f>
        <v>1961.92</v>
      </c>
      <c r="F92" s="627"/>
    </row>
    <row r="93" spans="1:6" s="400" customFormat="1" ht="18" x14ac:dyDescent="0.25">
      <c r="A93" s="410" t="s">
        <v>560</v>
      </c>
      <c r="B93" s="358">
        <v>2303.87</v>
      </c>
      <c r="C93" s="358">
        <v>2487.31</v>
      </c>
      <c r="D93" s="260">
        <f>2650+500</f>
        <v>3150</v>
      </c>
      <c r="E93" s="358">
        <f>2645.36+435.04</f>
        <v>3080.4</v>
      </c>
      <c r="F93" s="627"/>
    </row>
    <row r="94" spans="1:6" s="400" customFormat="1" ht="18" x14ac:dyDescent="0.25">
      <c r="A94" s="410" t="s">
        <v>561</v>
      </c>
      <c r="B94" s="358">
        <f>178+6870.6</f>
        <v>7048.6</v>
      </c>
      <c r="C94" s="358">
        <f>256.4+6782.16</f>
        <v>7038.5599999999995</v>
      </c>
      <c r="D94" s="260">
        <f>350+7150+800</f>
        <v>8300</v>
      </c>
      <c r="E94" s="358">
        <f>224.4+6678.87+761.32</f>
        <v>7664.5899999999992</v>
      </c>
      <c r="F94" s="627"/>
    </row>
    <row r="95" spans="1:6" s="400" customFormat="1" ht="18" x14ac:dyDescent="0.25">
      <c r="A95" s="410" t="s">
        <v>562</v>
      </c>
      <c r="B95" s="358">
        <v>40734</v>
      </c>
      <c r="C95" s="358">
        <v>43555</v>
      </c>
      <c r="D95" s="260">
        <f>65000+2700</f>
        <v>67700</v>
      </c>
      <c r="E95" s="358">
        <f>64930+2697</f>
        <v>67627</v>
      </c>
      <c r="F95" s="627"/>
    </row>
    <row r="96" spans="1:6" s="400" customFormat="1" ht="18" x14ac:dyDescent="0.25">
      <c r="A96" s="410" t="s">
        <v>563</v>
      </c>
      <c r="B96" s="358">
        <v>1220697.69</v>
      </c>
      <c r="C96" s="358">
        <v>1827294.2</v>
      </c>
      <c r="D96" s="260">
        <f>2243464+6536</f>
        <v>2250000</v>
      </c>
      <c r="E96" s="358">
        <v>2027116.1</v>
      </c>
      <c r="F96" s="627"/>
    </row>
    <row r="97" spans="1:6" s="400" customFormat="1" ht="18" x14ac:dyDescent="0.25">
      <c r="A97" s="410" t="s">
        <v>580</v>
      </c>
      <c r="B97" s="358">
        <f>2400+36572.69+9636+2115+84338.49+1599.6+112364.69+89544.33+300+4818+2706.14+310+58430.05+2519.97+6000</f>
        <v>413654.95999999996</v>
      </c>
      <c r="C97" s="358">
        <f>6700+4795.54+2300+141811.23+37741.98+29100+91528.35+79264.44+66181.92+14550+11501.9</f>
        <v>485475.36000000004</v>
      </c>
      <c r="D97" s="260">
        <f>87000+30285+67300+9800+26200+26200+38400+12415</f>
        <v>297600</v>
      </c>
      <c r="E97" s="358">
        <f>9895+42310+46807.92+9145.08+19093.51+21770+38334.91+12414.39</f>
        <v>199770.81</v>
      </c>
      <c r="F97" s="627"/>
    </row>
    <row r="98" spans="1:6" s="400" customFormat="1" ht="18" x14ac:dyDescent="0.25">
      <c r="A98" s="410" t="s">
        <v>572</v>
      </c>
      <c r="B98" s="358"/>
      <c r="C98" s="358">
        <v>3500</v>
      </c>
      <c r="D98" s="260">
        <v>5000</v>
      </c>
      <c r="E98" s="358">
        <v>5000</v>
      </c>
      <c r="F98" s="627"/>
    </row>
    <row r="99" spans="1:6" s="400" customFormat="1" ht="18" x14ac:dyDescent="0.25">
      <c r="A99" s="410" t="s">
        <v>605</v>
      </c>
      <c r="B99" s="358">
        <v>630708.37</v>
      </c>
      <c r="C99" s="358">
        <v>460100</v>
      </c>
      <c r="D99" s="260">
        <v>130000</v>
      </c>
      <c r="E99" s="358">
        <v>102750</v>
      </c>
      <c r="F99" s="627"/>
    </row>
    <row r="100" spans="1:6" s="400" customFormat="1" ht="18" x14ac:dyDescent="0.25">
      <c r="A100" s="410" t="s">
        <v>564</v>
      </c>
      <c r="B100" s="358">
        <v>684</v>
      </c>
      <c r="C100" s="358">
        <v>1612</v>
      </c>
      <c r="D100" s="260">
        <v>2200</v>
      </c>
      <c r="E100" s="358">
        <v>2141</v>
      </c>
      <c r="F100" s="627"/>
    </row>
    <row r="101" spans="1:6" s="400" customFormat="1" ht="15" customHeight="1" x14ac:dyDescent="0.25">
      <c r="A101" s="410" t="s">
        <v>565</v>
      </c>
      <c r="B101" s="358">
        <v>40158.82</v>
      </c>
      <c r="C101" s="358">
        <v>46106.13</v>
      </c>
      <c r="D101" s="260">
        <v>42500</v>
      </c>
      <c r="E101" s="358">
        <v>42500</v>
      </c>
      <c r="F101" s="627"/>
    </row>
    <row r="102" spans="1:6" s="400" customFormat="1" ht="15" customHeight="1" x14ac:dyDescent="0.25">
      <c r="A102" s="410" t="s">
        <v>566</v>
      </c>
      <c r="B102" s="358">
        <v>9194</v>
      </c>
      <c r="C102" s="358"/>
      <c r="D102" s="260">
        <v>7800</v>
      </c>
      <c r="E102" s="358"/>
      <c r="F102" s="627"/>
    </row>
    <row r="103" spans="1:6" s="400" customFormat="1" ht="18" x14ac:dyDescent="0.25">
      <c r="A103" s="410" t="s">
        <v>610</v>
      </c>
      <c r="B103" s="358"/>
      <c r="C103" s="358"/>
      <c r="D103" s="260">
        <v>13000</v>
      </c>
      <c r="E103" s="358">
        <v>12514</v>
      </c>
      <c r="F103" s="627"/>
    </row>
    <row r="104" spans="1:6" s="400" customFormat="1" ht="18" x14ac:dyDescent="0.25">
      <c r="A104" s="410" t="s">
        <v>581</v>
      </c>
      <c r="B104" s="358">
        <v>20783.88</v>
      </c>
      <c r="C104" s="358">
        <v>51414.92</v>
      </c>
      <c r="D104" s="260"/>
      <c r="E104" s="358"/>
      <c r="F104" s="627"/>
    </row>
    <row r="105" spans="1:6" s="400" customFormat="1" ht="18" x14ac:dyDescent="0.25">
      <c r="A105" s="410" t="s">
        <v>567</v>
      </c>
      <c r="B105" s="358">
        <v>102252.97</v>
      </c>
      <c r="C105" s="358">
        <v>67383.19</v>
      </c>
      <c r="D105" s="260">
        <v>76000</v>
      </c>
      <c r="E105" s="358">
        <v>53482.22</v>
      </c>
      <c r="F105" s="627"/>
    </row>
    <row r="106" spans="1:6" s="400" customFormat="1" ht="18.75" thickBot="1" x14ac:dyDescent="0.3">
      <c r="A106" s="410" t="s">
        <v>568</v>
      </c>
      <c r="B106" s="358">
        <v>6501</v>
      </c>
      <c r="C106" s="358">
        <v>2268</v>
      </c>
      <c r="D106" s="260">
        <v>15000</v>
      </c>
      <c r="E106" s="358">
        <v>15000</v>
      </c>
      <c r="F106" s="627"/>
    </row>
    <row r="107" spans="1:6" s="400" customFormat="1" ht="18.75" thickBot="1" x14ac:dyDescent="0.3">
      <c r="A107" s="312" t="s">
        <v>407</v>
      </c>
      <c r="B107" s="360">
        <f t="shared" ref="B107" si="10">B108+B112</f>
        <v>5741420.1499999994</v>
      </c>
      <c r="C107" s="360">
        <f t="shared" ref="C107:E107" si="11">C108+C112</f>
        <v>2775376.4699999997</v>
      </c>
      <c r="D107" s="313">
        <f t="shared" si="11"/>
        <v>3685000</v>
      </c>
      <c r="E107" s="360">
        <f t="shared" si="11"/>
        <v>3046848.8699999996</v>
      </c>
    </row>
    <row r="108" spans="1:6" s="400" customFormat="1" ht="18.75" thickBot="1" x14ac:dyDescent="0.3">
      <c r="A108" s="327" t="s">
        <v>111</v>
      </c>
      <c r="B108" s="361">
        <f t="shared" ref="B108" si="12">SUM(B109:B111)</f>
        <v>4641</v>
      </c>
      <c r="C108" s="361">
        <f t="shared" ref="C108:E108" si="13">SUM(C109:C111)</f>
        <v>128049.2</v>
      </c>
      <c r="D108" s="328">
        <f t="shared" si="13"/>
        <v>1165000</v>
      </c>
      <c r="E108" s="361">
        <f t="shared" si="13"/>
        <v>664667.11</v>
      </c>
    </row>
    <row r="109" spans="1:6" s="400" customFormat="1" ht="15.75" x14ac:dyDescent="0.25">
      <c r="A109" s="588" t="s">
        <v>536</v>
      </c>
      <c r="B109" s="362"/>
      <c r="C109" s="362"/>
      <c r="D109" s="331">
        <v>621500</v>
      </c>
      <c r="E109" s="362">
        <v>620825.29</v>
      </c>
    </row>
    <row r="110" spans="1:6" s="400" customFormat="1" ht="15.75" x14ac:dyDescent="0.25">
      <c r="A110" s="588" t="s">
        <v>114</v>
      </c>
      <c r="B110" s="362"/>
      <c r="C110" s="362"/>
      <c r="D110" s="331">
        <v>500</v>
      </c>
      <c r="E110" s="362">
        <v>350</v>
      </c>
    </row>
    <row r="111" spans="1:6" ht="16.5" thickBot="1" x14ac:dyDescent="0.3">
      <c r="A111" s="329" t="s">
        <v>115</v>
      </c>
      <c r="B111" s="363">
        <v>4641</v>
      </c>
      <c r="C111" s="363">
        <v>128049.2</v>
      </c>
      <c r="D111" s="330">
        <v>543000</v>
      </c>
      <c r="E111" s="363">
        <v>43491.82</v>
      </c>
    </row>
    <row r="112" spans="1:6" ht="18.75" thickBot="1" x14ac:dyDescent="0.3">
      <c r="A112" s="315" t="s">
        <v>116</v>
      </c>
      <c r="B112" s="364">
        <f>SUM(B113:B132)</f>
        <v>5736779.1499999994</v>
      </c>
      <c r="C112" s="364">
        <f>SUM(C113:C132)</f>
        <v>2647327.2699999996</v>
      </c>
      <c r="D112" s="316">
        <f>SUM(D113:D132)</f>
        <v>2520000</v>
      </c>
      <c r="E112" s="364">
        <f>SUM(E113:E132)</f>
        <v>2382181.7599999998</v>
      </c>
    </row>
    <row r="113" spans="1:5" ht="15.75" x14ac:dyDescent="0.25">
      <c r="A113" s="305" t="s">
        <v>527</v>
      </c>
      <c r="B113" s="358"/>
      <c r="C113" s="358"/>
      <c r="D113" s="260">
        <v>1844000</v>
      </c>
      <c r="E113" s="358">
        <v>1659549.26</v>
      </c>
    </row>
    <row r="114" spans="1:5" s="400" customFormat="1" ht="15.75" x14ac:dyDescent="0.25">
      <c r="A114" s="308" t="s">
        <v>574</v>
      </c>
      <c r="B114" s="358">
        <v>470179.69</v>
      </c>
      <c r="C114" s="358">
        <v>357150.2</v>
      </c>
      <c r="D114" s="260"/>
      <c r="E114" s="358"/>
    </row>
    <row r="115" spans="1:5" s="400" customFormat="1" ht="15.75" x14ac:dyDescent="0.25">
      <c r="A115" s="308" t="s">
        <v>575</v>
      </c>
      <c r="B115" s="358"/>
      <c r="C115" s="358"/>
      <c r="D115" s="260">
        <v>45000</v>
      </c>
      <c r="E115" s="358">
        <v>45000</v>
      </c>
    </row>
    <row r="116" spans="1:5" s="400" customFormat="1" ht="15.75" x14ac:dyDescent="0.25">
      <c r="A116" s="308" t="s">
        <v>586</v>
      </c>
      <c r="B116" s="358">
        <v>60000</v>
      </c>
      <c r="C116" s="358">
        <v>195471.86</v>
      </c>
      <c r="D116" s="260">
        <v>271500</v>
      </c>
      <c r="E116" s="358">
        <v>359710.49</v>
      </c>
    </row>
    <row r="117" spans="1:5" s="400" customFormat="1" ht="15.75" x14ac:dyDescent="0.25">
      <c r="A117" s="308" t="s">
        <v>621</v>
      </c>
      <c r="B117" s="358">
        <v>4086509.51</v>
      </c>
      <c r="C117" s="358">
        <v>1554922.49</v>
      </c>
      <c r="D117" s="260"/>
      <c r="E117" s="358"/>
    </row>
    <row r="118" spans="1:5" s="400" customFormat="1" ht="15.75" x14ac:dyDescent="0.25">
      <c r="A118" s="308" t="s">
        <v>606</v>
      </c>
      <c r="B118" s="358">
        <v>131818.20000000001</v>
      </c>
      <c r="C118" s="358"/>
      <c r="D118" s="260"/>
      <c r="E118" s="358"/>
    </row>
    <row r="119" spans="1:5" s="400" customFormat="1" ht="15.75" x14ac:dyDescent="0.25">
      <c r="A119" s="308" t="s">
        <v>598</v>
      </c>
      <c r="B119" s="358">
        <v>346201.16</v>
      </c>
      <c r="C119" s="358">
        <v>264836.71999999997</v>
      </c>
      <c r="D119" s="260">
        <v>75500</v>
      </c>
      <c r="E119" s="358">
        <v>21025.13</v>
      </c>
    </row>
    <row r="120" spans="1:5" s="400" customFormat="1" ht="15.75" x14ac:dyDescent="0.25">
      <c r="A120" s="308" t="s">
        <v>630</v>
      </c>
      <c r="B120" s="358">
        <v>77324.649999999994</v>
      </c>
      <c r="C120" s="358"/>
      <c r="D120" s="260"/>
      <c r="E120" s="358"/>
    </row>
    <row r="121" spans="1:5" s="400" customFormat="1" ht="15.75" x14ac:dyDescent="0.25">
      <c r="A121" s="308" t="s">
        <v>646</v>
      </c>
      <c r="B121" s="358"/>
      <c r="C121" s="358">
        <v>9750</v>
      </c>
      <c r="D121" s="260"/>
      <c r="E121" s="358"/>
    </row>
    <row r="122" spans="1:5" s="400" customFormat="1" ht="15.75" x14ac:dyDescent="0.25">
      <c r="A122" s="308" t="s">
        <v>640</v>
      </c>
      <c r="B122" s="358"/>
      <c r="C122" s="358">
        <v>2732</v>
      </c>
      <c r="D122" s="260"/>
      <c r="E122" s="358"/>
    </row>
    <row r="123" spans="1:5" s="400" customFormat="1" ht="15.75" x14ac:dyDescent="0.25">
      <c r="A123" s="308" t="s">
        <v>647</v>
      </c>
      <c r="B123" s="358"/>
      <c r="C123" s="358">
        <v>5000</v>
      </c>
      <c r="D123" s="260">
        <v>5000</v>
      </c>
      <c r="E123" s="358">
        <v>5000</v>
      </c>
    </row>
    <row r="124" spans="1:5" s="400" customFormat="1" ht="15.75" x14ac:dyDescent="0.25">
      <c r="A124" s="308" t="s">
        <v>631</v>
      </c>
      <c r="B124" s="358">
        <v>334411.3</v>
      </c>
      <c r="C124" s="358"/>
      <c r="D124" s="260"/>
      <c r="E124" s="358"/>
    </row>
    <row r="125" spans="1:5" s="400" customFormat="1" ht="15.75" x14ac:dyDescent="0.25">
      <c r="A125" s="308" t="s">
        <v>632</v>
      </c>
      <c r="B125" s="358">
        <v>205555.51</v>
      </c>
      <c r="C125" s="358"/>
      <c r="D125" s="260"/>
      <c r="E125" s="358"/>
    </row>
    <row r="126" spans="1:5" s="400" customFormat="1" ht="15.75" x14ac:dyDescent="0.25">
      <c r="A126" s="308" t="s">
        <v>627</v>
      </c>
      <c r="B126" s="358">
        <v>11000</v>
      </c>
      <c r="C126" s="358"/>
      <c r="D126" s="260"/>
      <c r="E126" s="358"/>
    </row>
    <row r="127" spans="1:5" s="400" customFormat="1" ht="15.75" x14ac:dyDescent="0.25">
      <c r="A127" s="308" t="s">
        <v>599</v>
      </c>
      <c r="B127" s="358">
        <v>9897.1299999999992</v>
      </c>
      <c r="C127" s="358"/>
      <c r="D127" s="260"/>
      <c r="E127" s="358"/>
    </row>
    <row r="128" spans="1:5" s="400" customFormat="1" ht="15.75" x14ac:dyDescent="0.25">
      <c r="A128" s="308" t="s">
        <v>609</v>
      </c>
      <c r="B128" s="358"/>
      <c r="C128" s="358">
        <v>20000</v>
      </c>
      <c r="D128" s="260"/>
      <c r="E128" s="358"/>
    </row>
    <row r="129" spans="1:5" s="400" customFormat="1" ht="15.75" x14ac:dyDescent="0.25">
      <c r="A129" s="308" t="s">
        <v>689</v>
      </c>
      <c r="B129" s="358"/>
      <c r="C129" s="358"/>
      <c r="D129" s="260"/>
      <c r="E129" s="358">
        <v>13012</v>
      </c>
    </row>
    <row r="130" spans="1:5" s="400" customFormat="1" ht="15.75" x14ac:dyDescent="0.25">
      <c r="A130" s="308" t="s">
        <v>658</v>
      </c>
      <c r="B130" s="358"/>
      <c r="C130" s="358"/>
      <c r="D130" s="260">
        <v>279000</v>
      </c>
      <c r="E130" s="358">
        <v>278884.88</v>
      </c>
    </row>
    <row r="131" spans="1:5" s="400" customFormat="1" ht="15.75" x14ac:dyDescent="0.25">
      <c r="A131" s="308" t="s">
        <v>583</v>
      </c>
      <c r="B131" s="358">
        <v>3882</v>
      </c>
      <c r="C131" s="358"/>
      <c r="D131" s="260"/>
      <c r="E131" s="358"/>
    </row>
    <row r="132" spans="1:5" s="400" customFormat="1" ht="16.5" thickBot="1" x14ac:dyDescent="0.3">
      <c r="A132" s="308" t="s">
        <v>457</v>
      </c>
      <c r="B132" s="358"/>
      <c r="C132" s="358">
        <v>237464</v>
      </c>
      <c r="D132" s="260">
        <v>0</v>
      </c>
      <c r="E132" s="358"/>
    </row>
    <row r="133" spans="1:5" ht="18.75" thickBot="1" x14ac:dyDescent="0.3">
      <c r="A133" s="252" t="s">
        <v>398</v>
      </c>
      <c r="B133" s="353">
        <f>SUM(B134:B142)</f>
        <v>5969418.21</v>
      </c>
      <c r="C133" s="353">
        <f>SUM(C134:C142)</f>
        <v>4487096.21</v>
      </c>
      <c r="D133" s="301">
        <f>SUM(D134:D142)</f>
        <v>1322390</v>
      </c>
      <c r="E133" s="353">
        <f>SUM(E134:E142)</f>
        <v>828241.21000000008</v>
      </c>
    </row>
    <row r="134" spans="1:5" s="400" customFormat="1" ht="15.75" x14ac:dyDescent="0.25">
      <c r="A134" s="308" t="s">
        <v>454</v>
      </c>
      <c r="B134" s="358">
        <v>492468.68</v>
      </c>
      <c r="C134" s="358">
        <v>562696.06000000006</v>
      </c>
      <c r="D134" s="260">
        <v>50000</v>
      </c>
      <c r="E134" s="358">
        <v>50000</v>
      </c>
    </row>
    <row r="135" spans="1:5" s="400" customFormat="1" ht="15.75" x14ac:dyDescent="0.25">
      <c r="A135" s="308" t="s">
        <v>529</v>
      </c>
      <c r="B135" s="358"/>
      <c r="C135" s="358">
        <v>10447.77</v>
      </c>
      <c r="D135" s="260"/>
      <c r="E135" s="358"/>
    </row>
    <row r="136" spans="1:5" s="400" customFormat="1" ht="15.75" x14ac:dyDescent="0.25">
      <c r="A136" s="308" t="s">
        <v>455</v>
      </c>
      <c r="B136" s="358">
        <f>234653.09+43175.15</f>
        <v>277828.24</v>
      </c>
      <c r="C136" s="358">
        <f>2338.49+82824.21+305589.61+205555.51+15000+237081.9+56923.89+40884.65</f>
        <v>946198.26000000013</v>
      </c>
      <c r="D136" s="260">
        <f>674390+20000</f>
        <v>694390</v>
      </c>
      <c r="E136" s="358">
        <f>9420+211199.64+1490.91+237464+105836.22+20000+35936.33+62634.04</f>
        <v>683981.14</v>
      </c>
    </row>
    <row r="137" spans="1:5" s="400" customFormat="1" ht="15.75" x14ac:dyDescent="0.25">
      <c r="A137" s="308" t="s">
        <v>669</v>
      </c>
      <c r="B137" s="358">
        <v>5115.96</v>
      </c>
      <c r="C137" s="358">
        <v>10641.34</v>
      </c>
      <c r="D137" s="260"/>
      <c r="E137" s="358">
        <v>17223.53</v>
      </c>
    </row>
    <row r="138" spans="1:5" s="400" customFormat="1" ht="15.75" x14ac:dyDescent="0.25">
      <c r="A138" s="308" t="s">
        <v>601</v>
      </c>
      <c r="B138" s="358"/>
      <c r="C138" s="358">
        <v>4429.8</v>
      </c>
      <c r="D138" s="260"/>
      <c r="E138" s="358"/>
    </row>
    <row r="139" spans="1:5" s="400" customFormat="1" ht="15.75" x14ac:dyDescent="0.25">
      <c r="A139" s="308" t="s">
        <v>588</v>
      </c>
      <c r="B139" s="358">
        <v>2237326.9900000002</v>
      </c>
      <c r="C139" s="358">
        <v>2640142.2999999998</v>
      </c>
      <c r="D139" s="260">
        <v>500000</v>
      </c>
      <c r="E139" s="358"/>
    </row>
    <row r="140" spans="1:5" ht="15.75" x14ac:dyDescent="0.25">
      <c r="A140" s="305" t="s">
        <v>659</v>
      </c>
      <c r="B140" s="358">
        <v>1865001.63</v>
      </c>
      <c r="C140" s="358"/>
      <c r="D140" s="260"/>
      <c r="E140" s="358"/>
    </row>
    <row r="141" spans="1:5" ht="15.75" x14ac:dyDescent="0.25">
      <c r="A141" s="305" t="s">
        <v>660</v>
      </c>
      <c r="B141" s="358"/>
      <c r="C141" s="358"/>
      <c r="D141" s="260">
        <v>78000</v>
      </c>
      <c r="E141" s="358">
        <v>77036.539999999994</v>
      </c>
    </row>
    <row r="142" spans="1:5" ht="16.5" thickBot="1" x14ac:dyDescent="0.3">
      <c r="A142" s="305" t="s">
        <v>129</v>
      </c>
      <c r="B142" s="420">
        <v>1091676.71</v>
      </c>
      <c r="C142" s="420">
        <v>312540.68</v>
      </c>
      <c r="D142" s="393"/>
      <c r="E142" s="420"/>
    </row>
    <row r="143" spans="1:5" ht="24" thickBot="1" x14ac:dyDescent="0.4">
      <c r="A143" s="317" t="s">
        <v>130</v>
      </c>
      <c r="B143" s="337">
        <f>B133+B107+B3</f>
        <v>37854410.780000001</v>
      </c>
      <c r="C143" s="337">
        <f>C133+C107+C3</f>
        <v>33810133.589999996</v>
      </c>
      <c r="D143" s="318">
        <f>D133+D107+D3</f>
        <v>35098250</v>
      </c>
      <c r="E143" s="337">
        <f>E133+E107+E3</f>
        <v>32345366.07</v>
      </c>
    </row>
    <row r="144" spans="1:5" ht="15.75" x14ac:dyDescent="0.25">
      <c r="A144" s="319"/>
    </row>
  </sheetData>
  <sheetProtection selectLockedCells="1" selectUnlockedCells="1"/>
  <mergeCells count="1">
    <mergeCell ref="A1:E1"/>
  </mergeCells>
  <phoneticPr fontId="0" type="noConversion"/>
  <pageMargins left="1.1811023622047245" right="0" top="0" bottom="0" header="0.51181102362204722" footer="0.51181102362204722"/>
  <pageSetup paperSize="8" scale="51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1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S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38" bestFit="1" customWidth="1"/>
    <col min="6" max="7" width="14.85546875" style="338" bestFit="1" customWidth="1"/>
    <col min="8" max="9" width="16" style="338" bestFit="1" customWidth="1"/>
    <col min="10" max="11" width="14.85546875" style="338" bestFit="1" customWidth="1"/>
    <col min="12" max="13" width="15.5703125" style="338" bestFit="1" customWidth="1"/>
    <col min="14" max="15" width="14.85546875" style="338" customWidth="1"/>
    <col min="16" max="17" width="16" style="338" bestFit="1" customWidth="1"/>
    <col min="18" max="19" width="14.85546875" style="338" customWidth="1"/>
    <col min="20" max="16384" width="9.140625" style="101"/>
  </cols>
  <sheetData>
    <row r="1" spans="1:19" ht="27.75" customHeight="1" x14ac:dyDescent="0.2">
      <c r="A1" s="121"/>
      <c r="B1" s="741" t="s">
        <v>651</v>
      </c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</row>
    <row r="2" spans="1:19" ht="7.5" customHeight="1" thickBot="1" x14ac:dyDescent="0.25">
      <c r="A2" s="121"/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741"/>
    </row>
    <row r="3" spans="1:19" ht="13.5" customHeight="1" thickBot="1" x14ac:dyDescent="0.25">
      <c r="A3" s="121"/>
      <c r="D3" s="742" t="s">
        <v>617</v>
      </c>
      <c r="E3" s="743"/>
      <c r="F3" s="743"/>
      <c r="G3" s="744"/>
      <c r="H3" s="742" t="s">
        <v>635</v>
      </c>
      <c r="I3" s="743"/>
      <c r="J3" s="743"/>
      <c r="K3" s="744"/>
      <c r="L3" s="752" t="s">
        <v>654</v>
      </c>
      <c r="M3" s="753"/>
      <c r="N3" s="753"/>
      <c r="O3" s="754"/>
      <c r="P3" s="742" t="s">
        <v>656</v>
      </c>
      <c r="Q3" s="743"/>
      <c r="R3" s="743"/>
      <c r="S3" s="744"/>
    </row>
    <row r="4" spans="1:19" ht="21" customHeight="1" x14ac:dyDescent="0.2">
      <c r="A4" s="121"/>
      <c r="B4" s="748" t="s">
        <v>405</v>
      </c>
      <c r="C4" s="749"/>
      <c r="D4" s="745"/>
      <c r="E4" s="746"/>
      <c r="F4" s="746"/>
      <c r="G4" s="747"/>
      <c r="H4" s="745"/>
      <c r="I4" s="746"/>
      <c r="J4" s="746"/>
      <c r="K4" s="747"/>
      <c r="L4" s="755"/>
      <c r="M4" s="756"/>
      <c r="N4" s="756"/>
      <c r="O4" s="757"/>
      <c r="P4" s="745"/>
      <c r="Q4" s="746"/>
      <c r="R4" s="746"/>
      <c r="S4" s="747"/>
    </row>
    <row r="5" spans="1:19" ht="24.75" thickBot="1" x14ac:dyDescent="0.25">
      <c r="A5" s="121"/>
      <c r="B5" s="750"/>
      <c r="C5" s="751"/>
      <c r="D5" s="526" t="s">
        <v>395</v>
      </c>
      <c r="E5" s="527" t="s">
        <v>408</v>
      </c>
      <c r="F5" s="527" t="s">
        <v>409</v>
      </c>
      <c r="G5" s="528" t="s">
        <v>400</v>
      </c>
      <c r="H5" s="526" t="s">
        <v>395</v>
      </c>
      <c r="I5" s="527" t="s">
        <v>408</v>
      </c>
      <c r="J5" s="527" t="s">
        <v>409</v>
      </c>
      <c r="K5" s="528" t="s">
        <v>400</v>
      </c>
      <c r="L5" s="344" t="s">
        <v>395</v>
      </c>
      <c r="M5" s="346" t="s">
        <v>408</v>
      </c>
      <c r="N5" s="346" t="s">
        <v>409</v>
      </c>
      <c r="O5" s="343" t="s">
        <v>400</v>
      </c>
      <c r="P5" s="526" t="s">
        <v>395</v>
      </c>
      <c r="Q5" s="527" t="s">
        <v>408</v>
      </c>
      <c r="R5" s="527" t="s">
        <v>409</v>
      </c>
      <c r="S5" s="528" t="s">
        <v>400</v>
      </c>
    </row>
    <row r="6" spans="1:19" ht="24" customHeight="1" thickBot="1" x14ac:dyDescent="0.3">
      <c r="A6" s="121"/>
      <c r="B6" s="379" t="s">
        <v>147</v>
      </c>
      <c r="C6" s="380"/>
      <c r="D6" s="529">
        <f t="shared" ref="D6:G6" si="0">D8+D22+D36+D46+D52+D68+D76+D91+D95+D120+D131+D140+D152+D178+D179</f>
        <v>36306609.989999995</v>
      </c>
      <c r="E6" s="530">
        <f t="shared" si="0"/>
        <v>24581390.029999994</v>
      </c>
      <c r="F6" s="530">
        <f t="shared" si="0"/>
        <v>8825125.5999999996</v>
      </c>
      <c r="G6" s="531">
        <f t="shared" si="0"/>
        <v>2900094.3600000003</v>
      </c>
      <c r="H6" s="529">
        <f t="shared" ref="H6:O6" si="1">H8+H22+H36+H46+H52+H68+H76+H91+H95+H120+H131+H140+H152+H178+H179</f>
        <v>33018690.390000001</v>
      </c>
      <c r="I6" s="530">
        <f t="shared" si="1"/>
        <v>25714704.720000003</v>
      </c>
      <c r="J6" s="530">
        <f t="shared" si="1"/>
        <v>2085674.76</v>
      </c>
      <c r="K6" s="531">
        <f t="shared" si="1"/>
        <v>5218310.91</v>
      </c>
      <c r="L6" s="345">
        <f t="shared" si="1"/>
        <v>35098250</v>
      </c>
      <c r="M6" s="421">
        <f t="shared" si="1"/>
        <v>29972222</v>
      </c>
      <c r="N6" s="421">
        <f t="shared" si="1"/>
        <v>3842828</v>
      </c>
      <c r="O6" s="378">
        <f t="shared" si="1"/>
        <v>1283200</v>
      </c>
      <c r="P6" s="529">
        <f t="shared" ref="P6:S6" si="2">P8+P22+P36+P46+P52+P68+P76+P91+P95+P120+P131+P140+P152+P178+P179</f>
        <v>31771345.120000001</v>
      </c>
      <c r="Q6" s="530">
        <f t="shared" si="2"/>
        <v>27522208.229999997</v>
      </c>
      <c r="R6" s="530">
        <f t="shared" si="2"/>
        <v>3462597.8699999996</v>
      </c>
      <c r="S6" s="531">
        <f t="shared" si="2"/>
        <v>786539.02</v>
      </c>
    </row>
    <row r="7" spans="1:19" ht="13.5" thickBot="1" x14ac:dyDescent="0.25">
      <c r="A7" s="121"/>
      <c r="B7" s="253" t="s">
        <v>148</v>
      </c>
      <c r="C7" s="254"/>
      <c r="D7" s="532"/>
      <c r="E7" s="533"/>
      <c r="F7" s="533"/>
      <c r="G7" s="534"/>
      <c r="H7" s="532"/>
      <c r="I7" s="533"/>
      <c r="J7" s="533"/>
      <c r="K7" s="534"/>
      <c r="L7" s="365"/>
      <c r="M7" s="347"/>
      <c r="N7" s="347"/>
      <c r="O7" s="366"/>
      <c r="P7" s="532"/>
      <c r="Q7" s="618"/>
      <c r="R7" s="618"/>
      <c r="S7" s="534"/>
    </row>
    <row r="8" spans="1:19" ht="15.75" x14ac:dyDescent="0.25">
      <c r="A8" s="121"/>
      <c r="B8" s="267" t="s">
        <v>149</v>
      </c>
      <c r="C8" s="268"/>
      <c r="D8" s="535">
        <f t="shared" ref="D8:G8" si="3">D9+D14+D18+D19+D20+D21</f>
        <v>422617.83999999997</v>
      </c>
      <c r="E8" s="536">
        <f t="shared" si="3"/>
        <v>379682.43999999994</v>
      </c>
      <c r="F8" s="536">
        <f t="shared" si="3"/>
        <v>42935.4</v>
      </c>
      <c r="G8" s="537">
        <f t="shared" si="3"/>
        <v>0</v>
      </c>
      <c r="H8" s="535">
        <f t="shared" ref="H8:K8" si="4">H9+H14+H18+H19+H20+H21</f>
        <v>430251.16000000003</v>
      </c>
      <c r="I8" s="536">
        <f t="shared" si="4"/>
        <v>393253.72</v>
      </c>
      <c r="J8" s="536">
        <f t="shared" si="4"/>
        <v>36997.440000000002</v>
      </c>
      <c r="K8" s="537">
        <f t="shared" si="4"/>
        <v>0</v>
      </c>
      <c r="L8" s="263">
        <f t="shared" ref="L8:O8" si="5">L9+L14+L18+L19+L20+L21</f>
        <v>476743</v>
      </c>
      <c r="M8" s="264">
        <f t="shared" si="5"/>
        <v>460693</v>
      </c>
      <c r="N8" s="264">
        <f t="shared" si="5"/>
        <v>16050</v>
      </c>
      <c r="O8" s="341">
        <f t="shared" si="5"/>
        <v>0</v>
      </c>
      <c r="P8" s="535">
        <f t="shared" ref="P8:S8" si="6">P9+P14+P18+P19+P20+P21</f>
        <v>416981.27</v>
      </c>
      <c r="Q8" s="536">
        <f t="shared" si="6"/>
        <v>404647.31</v>
      </c>
      <c r="R8" s="536">
        <f t="shared" si="6"/>
        <v>12333.96</v>
      </c>
      <c r="S8" s="537">
        <f t="shared" si="6"/>
        <v>0</v>
      </c>
    </row>
    <row r="9" spans="1:19" ht="15.75" x14ac:dyDescent="0.25">
      <c r="A9" s="121"/>
      <c r="B9" s="269" t="s">
        <v>150</v>
      </c>
      <c r="C9" s="270" t="s">
        <v>151</v>
      </c>
      <c r="D9" s="538">
        <f>SUM(D10:D13)</f>
        <v>244687.93999999997</v>
      </c>
      <c r="E9" s="539">
        <f t="shared" ref="E9:G9" si="7">SUM(E10:E13)</f>
        <v>244687.93999999997</v>
      </c>
      <c r="F9" s="539">
        <f t="shared" si="7"/>
        <v>0</v>
      </c>
      <c r="G9" s="540">
        <f t="shared" si="7"/>
        <v>0</v>
      </c>
      <c r="H9" s="538">
        <f>SUM(H10:H13)</f>
        <v>275898.49</v>
      </c>
      <c r="I9" s="539">
        <f t="shared" ref="I9:K9" si="8">SUM(I10:I13)</f>
        <v>275898.49</v>
      </c>
      <c r="J9" s="539">
        <f t="shared" si="8"/>
        <v>0</v>
      </c>
      <c r="K9" s="540">
        <f t="shared" si="8"/>
        <v>0</v>
      </c>
      <c r="L9" s="258">
        <f>SUM(L10:L13)</f>
        <v>289700</v>
      </c>
      <c r="M9" s="257">
        <f t="shared" ref="M9:O9" si="9">SUM(M10:M13)</f>
        <v>289700</v>
      </c>
      <c r="N9" s="257">
        <f t="shared" si="9"/>
        <v>0</v>
      </c>
      <c r="O9" s="342">
        <f t="shared" si="9"/>
        <v>0</v>
      </c>
      <c r="P9" s="538">
        <f>SUM(P10:P13)</f>
        <v>272900.28000000003</v>
      </c>
      <c r="Q9" s="539">
        <f t="shared" ref="Q9:S9" si="10">SUM(Q10:Q13)</f>
        <v>272900.28000000003</v>
      </c>
      <c r="R9" s="539">
        <f t="shared" si="10"/>
        <v>0</v>
      </c>
      <c r="S9" s="540">
        <f t="shared" si="10"/>
        <v>0</v>
      </c>
    </row>
    <row r="10" spans="1:19" ht="15.75" x14ac:dyDescent="0.25">
      <c r="A10" s="121"/>
      <c r="B10" s="269">
        <v>1</v>
      </c>
      <c r="C10" s="270" t="s">
        <v>152</v>
      </c>
      <c r="D10" s="538">
        <f>SUM(E10:G10)</f>
        <v>110777.61</v>
      </c>
      <c r="E10" s="539">
        <f>'[1]1.Plánovanie, manažment a kontr'!$AC$5</f>
        <v>110777.61</v>
      </c>
      <c r="F10" s="539">
        <f>'[1]1.Plánovanie, manažment a kontr'!$AD$5</f>
        <v>0</v>
      </c>
      <c r="G10" s="540">
        <f>'[1]1.Plánovanie, manažment a kontr'!$AE$5</f>
        <v>0</v>
      </c>
      <c r="H10" s="538">
        <f>SUM(I10:K10)</f>
        <v>118255.07999999999</v>
      </c>
      <c r="I10" s="539">
        <f>'[2]1.Plánovanie, manažment a kontr'!$AF$5</f>
        <v>118255.07999999999</v>
      </c>
      <c r="J10" s="539">
        <f>'[2]1.Plánovanie, manažment a kontr'!$AG$5</f>
        <v>0</v>
      </c>
      <c r="K10" s="540">
        <f>'[2]1.Plánovanie, manažment a kontr'!$AH$5</f>
        <v>0</v>
      </c>
      <c r="L10" s="258">
        <f>SUM(M10:O10)</f>
        <v>121300</v>
      </c>
      <c r="M10" s="257">
        <f>'[3]1.Plánovanie, manažment a kontr'!$AF$5</f>
        <v>121300</v>
      </c>
      <c r="N10" s="257">
        <f>'[3]1.Plánovanie, manažment a kontr'!$AG$5</f>
        <v>0</v>
      </c>
      <c r="O10" s="342">
        <f>'[3]1.Plánovanie, manažment a kontr'!$AH$5</f>
        <v>0</v>
      </c>
      <c r="P10" s="538">
        <f>SUM(Q10:S10)</f>
        <v>111421.81999999999</v>
      </c>
      <c r="Q10" s="539">
        <f>'[3]1.Plánovanie, manažment a kontr'!$AI$5</f>
        <v>111421.81999999999</v>
      </c>
      <c r="R10" s="539">
        <f>'[3]1.Plánovanie, manažment a kontr'!$AJ$5</f>
        <v>0</v>
      </c>
      <c r="S10" s="540">
        <f>'[3]1.Plánovanie, manažment a kontr'!$AK$5</f>
        <v>0</v>
      </c>
    </row>
    <row r="11" spans="1:19" ht="15.75" x14ac:dyDescent="0.25">
      <c r="A11" s="122"/>
      <c r="B11" s="269">
        <v>2</v>
      </c>
      <c r="C11" s="270" t="s">
        <v>153</v>
      </c>
      <c r="D11" s="538">
        <f>SUM(E11:G11)</f>
        <v>48329.929999999993</v>
      </c>
      <c r="E11" s="539">
        <f>'[1]1.Plánovanie, manažment a kontr'!$AC$17</f>
        <v>48329.929999999993</v>
      </c>
      <c r="F11" s="539">
        <f>'[1]1.Plánovanie, manažment a kontr'!$AD$17</f>
        <v>0</v>
      </c>
      <c r="G11" s="540">
        <f>'[1]1.Plánovanie, manažment a kontr'!$AE$17</f>
        <v>0</v>
      </c>
      <c r="H11" s="538">
        <f>SUM(I11:K11)</f>
        <v>49824.71</v>
      </c>
      <c r="I11" s="539">
        <f>'[2]1.Plánovanie, manažment a kontr'!$AF$17</f>
        <v>49824.71</v>
      </c>
      <c r="J11" s="539">
        <f>'[2]1.Plánovanie, manažment a kontr'!$AG$17</f>
        <v>0</v>
      </c>
      <c r="K11" s="540">
        <f>'[2]1.Plánovanie, manažment a kontr'!$AH$17</f>
        <v>0</v>
      </c>
      <c r="L11" s="258">
        <f>SUM(M11:O11)</f>
        <v>51450</v>
      </c>
      <c r="M11" s="257">
        <f>'[3]1.Plánovanie, manažment a kontr'!$AF$17</f>
        <v>51450</v>
      </c>
      <c r="N11" s="257">
        <f>'[3]1.Plánovanie, manažment a kontr'!$AG$17</f>
        <v>0</v>
      </c>
      <c r="O11" s="342">
        <f>'[3]1.Plánovanie, manažment a kontr'!$AH$17</f>
        <v>0</v>
      </c>
      <c r="P11" s="538">
        <f>SUM(Q11:S11)</f>
        <v>50056</v>
      </c>
      <c r="Q11" s="539">
        <f>'[3]1.Plánovanie, manažment a kontr'!$AI$17</f>
        <v>50056</v>
      </c>
      <c r="R11" s="539">
        <f>'[3]1.Plánovanie, manažment a kontr'!$AJ$17</f>
        <v>0</v>
      </c>
      <c r="S11" s="540">
        <f>'[3]1.Plánovanie, manažment a kontr'!$AK$17</f>
        <v>0</v>
      </c>
    </row>
    <row r="12" spans="1:19" ht="15.75" x14ac:dyDescent="0.25">
      <c r="A12" s="122"/>
      <c r="B12" s="269">
        <v>3</v>
      </c>
      <c r="C12" s="270" t="s">
        <v>154</v>
      </c>
      <c r="D12" s="538">
        <f>SUM(E12:G12)</f>
        <v>85580.4</v>
      </c>
      <c r="E12" s="539">
        <f>'[1]1.Plánovanie, manažment a kontr'!$AC$28</f>
        <v>85580.4</v>
      </c>
      <c r="F12" s="539">
        <f>'[1]1.Plánovanie, manažment a kontr'!$AD$28</f>
        <v>0</v>
      </c>
      <c r="G12" s="540">
        <f>'[1]1.Plánovanie, manažment a kontr'!$AE$28</f>
        <v>0</v>
      </c>
      <c r="H12" s="538">
        <f>SUM(I12:K12)</f>
        <v>107818.70000000001</v>
      </c>
      <c r="I12" s="539">
        <f>'[2]1.Plánovanie, manažment a kontr'!$AF$28</f>
        <v>107818.70000000001</v>
      </c>
      <c r="J12" s="539">
        <f>'[2]1.Plánovanie, manažment a kontr'!$AG$28</f>
        <v>0</v>
      </c>
      <c r="K12" s="540">
        <f>'[2]1.Plánovanie, manažment a kontr'!$AH$28</f>
        <v>0</v>
      </c>
      <c r="L12" s="258">
        <f>SUM(M12:O12)</f>
        <v>116950</v>
      </c>
      <c r="M12" s="257">
        <f>'[3]1.Plánovanie, manažment a kontr'!$AF$28</f>
        <v>116950</v>
      </c>
      <c r="N12" s="257">
        <f>'[3]1.Plánovanie, manažment a kontr'!$AG$28</f>
        <v>0</v>
      </c>
      <c r="O12" s="342">
        <f>'[3]1.Plánovanie, manažment a kontr'!$AH$28</f>
        <v>0</v>
      </c>
      <c r="P12" s="538">
        <f>SUM(Q12:S12)</f>
        <v>111422.45999999999</v>
      </c>
      <c r="Q12" s="539">
        <f>'[3]1.Plánovanie, manažment a kontr'!$AI$28</f>
        <v>111422.45999999999</v>
      </c>
      <c r="R12" s="539">
        <f>'[3]1.Plánovanie, manažment a kontr'!$AJ$28</f>
        <v>0</v>
      </c>
      <c r="S12" s="540">
        <f>'[3]1.Plánovanie, manažment a kontr'!$AK$28</f>
        <v>0</v>
      </c>
    </row>
    <row r="13" spans="1:19" ht="15.75" x14ac:dyDescent="0.25">
      <c r="A13" s="122"/>
      <c r="B13" s="269">
        <v>4</v>
      </c>
      <c r="C13" s="270" t="s">
        <v>155</v>
      </c>
      <c r="D13" s="538">
        <f>SUM(E13:G13)</f>
        <v>0</v>
      </c>
      <c r="E13" s="539">
        <f>'[1]1.Plánovanie, manažment a kontr'!$AC$33</f>
        <v>0</v>
      </c>
      <c r="F13" s="539">
        <f>'[1]1.Plánovanie, manažment a kontr'!$AD$33</f>
        <v>0</v>
      </c>
      <c r="G13" s="540">
        <f>'[1]1.Plánovanie, manažment a kontr'!$AE$33</f>
        <v>0</v>
      </c>
      <c r="H13" s="538">
        <f>SUM(I13:K13)</f>
        <v>0</v>
      </c>
      <c r="I13" s="539">
        <f>'[2]1.Plánovanie, manažment a kontr'!$AF$33</f>
        <v>0</v>
      </c>
      <c r="J13" s="539">
        <f>'[2]1.Plánovanie, manažment a kontr'!$AG$33</f>
        <v>0</v>
      </c>
      <c r="K13" s="540">
        <f>'[2]1.Plánovanie, manažment a kontr'!$AH$33</f>
        <v>0</v>
      </c>
      <c r="L13" s="258">
        <f>SUM(M13:O13)</f>
        <v>0</v>
      </c>
      <c r="M13" s="257">
        <f>'[3]1.Plánovanie, manažment a kontr'!$AF$33</f>
        <v>0</v>
      </c>
      <c r="N13" s="257">
        <f>'[3]1.Plánovanie, manažment a kontr'!$AG$33</f>
        <v>0</v>
      </c>
      <c r="O13" s="342">
        <f>'[3]1.Plánovanie, manažment a kontr'!$AH$33</f>
        <v>0</v>
      </c>
      <c r="P13" s="538">
        <f>SUM(Q13:S13)</f>
        <v>0</v>
      </c>
      <c r="Q13" s="539">
        <f>'[3]1.Plánovanie, manažment a kontr'!$AI$33</f>
        <v>0</v>
      </c>
      <c r="R13" s="539">
        <f>'[3]1.Plánovanie, manažment a kontr'!$AJ$33</f>
        <v>0</v>
      </c>
      <c r="S13" s="540">
        <f>'[3]1.Plánovanie, manažment a kontr'!$AK$33</f>
        <v>0</v>
      </c>
    </row>
    <row r="14" spans="1:19" ht="15.75" x14ac:dyDescent="0.25">
      <c r="A14" s="122"/>
      <c r="B14" s="269" t="s">
        <v>156</v>
      </c>
      <c r="C14" s="270" t="s">
        <v>157</v>
      </c>
      <c r="D14" s="538">
        <f>SUM(D15:D17)</f>
        <v>63896.39</v>
      </c>
      <c r="E14" s="539">
        <f t="shared" ref="E14:G14" si="11">SUM(E15:E17)</f>
        <v>20960.990000000002</v>
      </c>
      <c r="F14" s="539">
        <f t="shared" si="11"/>
        <v>42935.4</v>
      </c>
      <c r="G14" s="540">
        <f t="shared" si="11"/>
        <v>0</v>
      </c>
      <c r="H14" s="538">
        <f>SUM(H15:H17)</f>
        <v>55389.820000000007</v>
      </c>
      <c r="I14" s="539">
        <f t="shared" ref="I14:K14" si="12">SUM(I15:I17)</f>
        <v>18392.379999999997</v>
      </c>
      <c r="J14" s="539">
        <f t="shared" si="12"/>
        <v>36997.440000000002</v>
      </c>
      <c r="K14" s="540">
        <f t="shared" si="12"/>
        <v>0</v>
      </c>
      <c r="L14" s="258">
        <f>SUM(L15:L17)</f>
        <v>73143</v>
      </c>
      <c r="M14" s="257">
        <f t="shared" ref="M14:O14" si="13">SUM(M15:M17)</f>
        <v>57093</v>
      </c>
      <c r="N14" s="257">
        <f t="shared" si="13"/>
        <v>16050</v>
      </c>
      <c r="O14" s="342">
        <f t="shared" si="13"/>
        <v>0</v>
      </c>
      <c r="P14" s="538">
        <f>SUM(P15:P17)</f>
        <v>42233.56</v>
      </c>
      <c r="Q14" s="539">
        <f t="shared" ref="Q14:S14" si="14">SUM(Q15:Q17)</f>
        <v>29899.599999999999</v>
      </c>
      <c r="R14" s="539">
        <f t="shared" si="14"/>
        <v>12333.96</v>
      </c>
      <c r="S14" s="540">
        <f t="shared" si="14"/>
        <v>0</v>
      </c>
    </row>
    <row r="15" spans="1:19" ht="15.75" x14ac:dyDescent="0.25">
      <c r="A15" s="122"/>
      <c r="B15" s="269">
        <v>1</v>
      </c>
      <c r="C15" s="270" t="s">
        <v>158</v>
      </c>
      <c r="D15" s="538">
        <f>SUM(E15:G15)</f>
        <v>17920.990000000002</v>
      </c>
      <c r="E15" s="539">
        <f>'[1]1.Plánovanie, manažment a kontr'!$AC$41</f>
        <v>17920.990000000002</v>
      </c>
      <c r="F15" s="539">
        <f>'[1]1.Plánovanie, manažment a kontr'!$AD$41</f>
        <v>0</v>
      </c>
      <c r="G15" s="540">
        <f>'[1]1.Plánovanie, manažment a kontr'!$AE$41</f>
        <v>0</v>
      </c>
      <c r="H15" s="538">
        <f>SUM(I15:K15)</f>
        <v>16878.8</v>
      </c>
      <c r="I15" s="539">
        <f>'[2]1.Plánovanie, manažment a kontr'!$AF$41</f>
        <v>16878.8</v>
      </c>
      <c r="J15" s="539">
        <f>'[2]1.Plánovanie, manažment a kontr'!$AG$41</f>
        <v>0</v>
      </c>
      <c r="K15" s="540">
        <f>'[2]1.Plánovanie, manažment a kontr'!$AH$41</f>
        <v>0</v>
      </c>
      <c r="L15" s="258">
        <f>SUM(M15:O15)</f>
        <v>37043</v>
      </c>
      <c r="M15" s="257">
        <f>'[3]1.Plánovanie, manažment a kontr'!$AF$41</f>
        <v>37043</v>
      </c>
      <c r="N15" s="257">
        <f>'[3]1.Plánovanie, manažment a kontr'!$AG$41</f>
        <v>0</v>
      </c>
      <c r="O15" s="342">
        <f>'[3]1.Plánovanie, manažment a kontr'!$AH$41</f>
        <v>0</v>
      </c>
      <c r="P15" s="538">
        <f>SUM(Q15:S15)</f>
        <v>21240.6</v>
      </c>
      <c r="Q15" s="539">
        <f>'[3]1.Plánovanie, manažment a kontr'!$AI$41</f>
        <v>21240.6</v>
      </c>
      <c r="R15" s="539">
        <f>'[3]1.Plánovanie, manažment a kontr'!$AJ$41</f>
        <v>0</v>
      </c>
      <c r="S15" s="540">
        <f>'[3]1.Plánovanie, manažment a kontr'!$AK$41</f>
        <v>0</v>
      </c>
    </row>
    <row r="16" spans="1:19" ht="15.75" x14ac:dyDescent="0.25">
      <c r="A16" s="122"/>
      <c r="B16" s="269">
        <v>2</v>
      </c>
      <c r="C16" s="270" t="s">
        <v>159</v>
      </c>
      <c r="D16" s="538">
        <f t="shared" ref="D16:D21" si="15">SUM(E16:G16)</f>
        <v>2100</v>
      </c>
      <c r="E16" s="539">
        <f>'[1]1.Plánovanie, manažment a kontr'!$AC$58</f>
        <v>2100</v>
      </c>
      <c r="F16" s="539">
        <f>'[1]1.Plánovanie, manažment a kontr'!$AD$58</f>
        <v>0</v>
      </c>
      <c r="G16" s="540">
        <f>'[1]1.Plánovanie, manažment a kontr'!$AE$58</f>
        <v>0</v>
      </c>
      <c r="H16" s="538">
        <f t="shared" ref="H16:H21" si="16">SUM(I16:K16)</f>
        <v>0</v>
      </c>
      <c r="I16" s="539">
        <f>'[2]1.Plánovanie, manažment a kontr'!$AF$58</f>
        <v>0</v>
      </c>
      <c r="J16" s="539">
        <f>'[2]1.Plánovanie, manažment a kontr'!$AG$58</f>
        <v>0</v>
      </c>
      <c r="K16" s="540">
        <f>'[2]1.Plánovanie, manažment a kontr'!$AH$58</f>
        <v>0</v>
      </c>
      <c r="L16" s="258">
        <f t="shared" ref="L16:L21" si="17">SUM(M16:O16)</f>
        <v>10000</v>
      </c>
      <c r="M16" s="257">
        <f>'[3]1.Plánovanie, manažment a kontr'!$AF$58</f>
        <v>10000</v>
      </c>
      <c r="N16" s="257">
        <f>'[3]1.Plánovanie, manažment a kontr'!$AG$58</f>
        <v>0</v>
      </c>
      <c r="O16" s="342">
        <f>'[3]1.Plánovanie, manažment a kontr'!$AH$58</f>
        <v>0</v>
      </c>
      <c r="P16" s="538">
        <f t="shared" ref="P16:P21" si="18">SUM(Q16:S16)</f>
        <v>8639</v>
      </c>
      <c r="Q16" s="539">
        <f>'[3]1.Plánovanie, manažment a kontr'!$AI$58</f>
        <v>8639</v>
      </c>
      <c r="R16" s="539">
        <f>'[3]1.Plánovanie, manažment a kontr'!$AJ$58</f>
        <v>0</v>
      </c>
      <c r="S16" s="540">
        <f>'[3]1.Plánovanie, manažment a kontr'!$AK$58</f>
        <v>0</v>
      </c>
    </row>
    <row r="17" spans="1:19" ht="15.75" x14ac:dyDescent="0.25">
      <c r="A17" s="122"/>
      <c r="B17" s="269">
        <v>3</v>
      </c>
      <c r="C17" s="270" t="s">
        <v>160</v>
      </c>
      <c r="D17" s="538">
        <f t="shared" si="15"/>
        <v>43875.4</v>
      </c>
      <c r="E17" s="539">
        <f>'[1]1.Plánovanie, manažment a kontr'!$AC$62</f>
        <v>940</v>
      </c>
      <c r="F17" s="539">
        <f>'[1]1.Plánovanie, manažment a kontr'!$AD$62</f>
        <v>42935.4</v>
      </c>
      <c r="G17" s="540">
        <f>'[1]1.Plánovanie, manažment a kontr'!$AE$62</f>
        <v>0</v>
      </c>
      <c r="H17" s="538">
        <f t="shared" si="16"/>
        <v>38511.020000000004</v>
      </c>
      <c r="I17" s="539">
        <f>'[2]1.Plánovanie, manažment a kontr'!$AF$62</f>
        <v>1513.58</v>
      </c>
      <c r="J17" s="539">
        <f>'[2]1.Plánovanie, manažment a kontr'!$AG$62</f>
        <v>36997.440000000002</v>
      </c>
      <c r="K17" s="540">
        <f>'[2]1.Plánovanie, manažment a kontr'!$AH$62</f>
        <v>0</v>
      </c>
      <c r="L17" s="258">
        <f t="shared" si="17"/>
        <v>26100</v>
      </c>
      <c r="M17" s="257">
        <f>'[3]1.Plánovanie, manažment a kontr'!$AF$62</f>
        <v>10050</v>
      </c>
      <c r="N17" s="257">
        <f>'[3]1.Plánovanie, manažment a kontr'!$AG$62</f>
        <v>16050</v>
      </c>
      <c r="O17" s="342">
        <f>'[3]1.Plánovanie, manažment a kontr'!$AH$62</f>
        <v>0</v>
      </c>
      <c r="P17" s="538">
        <f t="shared" si="18"/>
        <v>12353.96</v>
      </c>
      <c r="Q17" s="539">
        <f>'[3]1.Plánovanie, manažment a kontr'!$AI$62</f>
        <v>20</v>
      </c>
      <c r="R17" s="539">
        <f>'[3]1.Plánovanie, manažment a kontr'!$AJ$62</f>
        <v>12333.96</v>
      </c>
      <c r="S17" s="540">
        <f>'[3]1.Plánovanie, manažment a kontr'!$AK$62</f>
        <v>0</v>
      </c>
    </row>
    <row r="18" spans="1:19" ht="15.75" x14ac:dyDescent="0.25">
      <c r="A18" s="102"/>
      <c r="B18" s="269" t="s">
        <v>161</v>
      </c>
      <c r="C18" s="270" t="s">
        <v>162</v>
      </c>
      <c r="D18" s="538">
        <f t="shared" si="15"/>
        <v>90960.98</v>
      </c>
      <c r="E18" s="539">
        <f>'[1]1.Plánovanie, manažment a kontr'!$AC$79</f>
        <v>90960.98</v>
      </c>
      <c r="F18" s="539">
        <f>'[1]1.Plánovanie, manažment a kontr'!$AD$79</f>
        <v>0</v>
      </c>
      <c r="G18" s="540">
        <f>'[1]1.Plánovanie, manažment a kontr'!$AE$79</f>
        <v>0</v>
      </c>
      <c r="H18" s="538">
        <f t="shared" si="16"/>
        <v>80357.47</v>
      </c>
      <c r="I18" s="539">
        <f>'[2]1.Plánovanie, manažment a kontr'!$AF$79</f>
        <v>80357.47</v>
      </c>
      <c r="J18" s="539">
        <f>'[2]1.Plánovanie, manažment a kontr'!$AG$79</f>
        <v>0</v>
      </c>
      <c r="K18" s="540">
        <f>'[2]1.Plánovanie, manažment a kontr'!$AH$79</f>
        <v>0</v>
      </c>
      <c r="L18" s="258">
        <f t="shared" si="17"/>
        <v>86550</v>
      </c>
      <c r="M18" s="257">
        <f>'[3]1.Plánovanie, manažment a kontr'!$AF$79</f>
        <v>86550</v>
      </c>
      <c r="N18" s="257">
        <f>'[3]1.Plánovanie, manažment a kontr'!$AG$79</f>
        <v>0</v>
      </c>
      <c r="O18" s="342">
        <f>'[3]1.Plánovanie, manažment a kontr'!$AH$79</f>
        <v>0</v>
      </c>
      <c r="P18" s="538">
        <f t="shared" si="18"/>
        <v>80427.429999999993</v>
      </c>
      <c r="Q18" s="539">
        <f>'[3]1.Plánovanie, manažment a kontr'!$AI$79</f>
        <v>80427.429999999993</v>
      </c>
      <c r="R18" s="539">
        <f>'[3]1.Plánovanie, manažment a kontr'!$AJ$79</f>
        <v>0</v>
      </c>
      <c r="S18" s="540">
        <f>'[3]1.Plánovanie, manažment a kontr'!$AK$79</f>
        <v>0</v>
      </c>
    </row>
    <row r="19" spans="1:19" ht="15.75" x14ac:dyDescent="0.25">
      <c r="A19" s="121"/>
      <c r="B19" s="269" t="s">
        <v>163</v>
      </c>
      <c r="C19" s="270" t="s">
        <v>164</v>
      </c>
      <c r="D19" s="538">
        <f t="shared" si="15"/>
        <v>9048</v>
      </c>
      <c r="E19" s="539">
        <f>'[1]1.Plánovanie, manažment a kontr'!$AC$88</f>
        <v>9048</v>
      </c>
      <c r="F19" s="539">
        <f>'[1]1.Plánovanie, manažment a kontr'!$AD$88</f>
        <v>0</v>
      </c>
      <c r="G19" s="540">
        <f>'[1]1.Plánovanie, manažment a kontr'!$AE$88</f>
        <v>0</v>
      </c>
      <c r="H19" s="538">
        <f t="shared" si="16"/>
        <v>7488</v>
      </c>
      <c r="I19" s="539">
        <f>'[2]1.Plánovanie, manažment a kontr'!$AF$88</f>
        <v>7488</v>
      </c>
      <c r="J19" s="539">
        <f>'[2]1.Plánovanie, manažment a kontr'!$AG$88</f>
        <v>0</v>
      </c>
      <c r="K19" s="540">
        <f>'[2]1.Plánovanie, manažment a kontr'!$AH$88</f>
        <v>0</v>
      </c>
      <c r="L19" s="258">
        <f t="shared" si="17"/>
        <v>9000</v>
      </c>
      <c r="M19" s="257">
        <f>'[3]1.Plánovanie, manažment a kontr'!$AF$88</f>
        <v>9000</v>
      </c>
      <c r="N19" s="257">
        <f>'[3]1.Plánovanie, manažment a kontr'!$AG$88</f>
        <v>0</v>
      </c>
      <c r="O19" s="342">
        <f>'[3]1.Plánovanie, manažment a kontr'!$AH$88</f>
        <v>0</v>
      </c>
      <c r="P19" s="538">
        <f t="shared" si="18"/>
        <v>7470</v>
      </c>
      <c r="Q19" s="539">
        <f>'[3]1.Plánovanie, manažment a kontr'!$AI$88</f>
        <v>7470</v>
      </c>
      <c r="R19" s="539">
        <f>'[3]1.Plánovanie, manažment a kontr'!$AJ$88</f>
        <v>0</v>
      </c>
      <c r="S19" s="540">
        <f>'[3]1.Plánovanie, manažment a kontr'!$AK$88</f>
        <v>0</v>
      </c>
    </row>
    <row r="20" spans="1:19" ht="15.75" x14ac:dyDescent="0.25">
      <c r="A20" s="121"/>
      <c r="B20" s="269" t="s">
        <v>165</v>
      </c>
      <c r="C20" s="270" t="s">
        <v>166</v>
      </c>
      <c r="D20" s="538">
        <f t="shared" si="15"/>
        <v>14024.529999999999</v>
      </c>
      <c r="E20" s="539">
        <f>'[1]1.Plánovanie, manažment a kontr'!$AC$92</f>
        <v>14024.529999999999</v>
      </c>
      <c r="F20" s="539">
        <f>'[1]1.Plánovanie, manažment a kontr'!$AD$92</f>
        <v>0</v>
      </c>
      <c r="G20" s="540">
        <f>'[1]1.Plánovanie, manažment a kontr'!$AE$92</f>
        <v>0</v>
      </c>
      <c r="H20" s="538">
        <f t="shared" si="16"/>
        <v>11117.380000000001</v>
      </c>
      <c r="I20" s="539">
        <f>'[2]1.Plánovanie, manažment a kontr'!$AF$92</f>
        <v>11117.380000000001</v>
      </c>
      <c r="J20" s="539">
        <f>'[2]1.Plánovanie, manažment a kontr'!$AG$92</f>
        <v>0</v>
      </c>
      <c r="K20" s="540">
        <f>'[2]1.Plánovanie, manažment a kontr'!$AH$92</f>
        <v>0</v>
      </c>
      <c r="L20" s="258">
        <f t="shared" si="17"/>
        <v>18350</v>
      </c>
      <c r="M20" s="257">
        <f>'[3]1.Plánovanie, manažment a kontr'!$AF$92</f>
        <v>18350</v>
      </c>
      <c r="N20" s="257">
        <f>'[3]1.Plánovanie, manažment a kontr'!$AG$92</f>
        <v>0</v>
      </c>
      <c r="O20" s="342">
        <f>'[3]1.Plánovanie, manažment a kontr'!$AH$92</f>
        <v>0</v>
      </c>
      <c r="P20" s="538">
        <f t="shared" si="18"/>
        <v>13950</v>
      </c>
      <c r="Q20" s="539">
        <f>'[3]1.Plánovanie, manažment a kontr'!$AI$92</f>
        <v>13950</v>
      </c>
      <c r="R20" s="539">
        <f>'[3]1.Plánovanie, manažment a kontr'!$AJ$92</f>
        <v>0</v>
      </c>
      <c r="S20" s="540">
        <f>'[3]1.Plánovanie, manažment a kontr'!$AK$92</f>
        <v>0</v>
      </c>
    </row>
    <row r="21" spans="1:19" ht="16.5" outlineLevel="1" thickBot="1" x14ac:dyDescent="0.3">
      <c r="A21" s="121"/>
      <c r="B21" s="271" t="s">
        <v>167</v>
      </c>
      <c r="C21" s="272" t="s">
        <v>431</v>
      </c>
      <c r="D21" s="541">
        <f t="shared" si="15"/>
        <v>0</v>
      </c>
      <c r="E21" s="542">
        <f>'[1]1.Plánovanie, manažment a kontr'!$AC$95</f>
        <v>0</v>
      </c>
      <c r="F21" s="542">
        <f>'[1]1.Plánovanie, manažment a kontr'!$AD$95</f>
        <v>0</v>
      </c>
      <c r="G21" s="543">
        <f>'[1]1.Plánovanie, manažment a kontr'!$AE$95</f>
        <v>0</v>
      </c>
      <c r="H21" s="541">
        <f t="shared" si="16"/>
        <v>0</v>
      </c>
      <c r="I21" s="542">
        <f>'[2]1.Plánovanie, manažment a kontr'!$AF$95</f>
        <v>0</v>
      </c>
      <c r="J21" s="542">
        <f>'[2]1.Plánovanie, manažment a kontr'!$AG$95</f>
        <v>0</v>
      </c>
      <c r="K21" s="543">
        <f>'[2]1.Plánovanie, manažment a kontr'!$AH$95</f>
        <v>0</v>
      </c>
      <c r="L21" s="265">
        <f t="shared" si="17"/>
        <v>0</v>
      </c>
      <c r="M21" s="266">
        <f>'[3]1.Plánovanie, manažment a kontr'!$AF$95</f>
        <v>0</v>
      </c>
      <c r="N21" s="266">
        <f>'[3]1.Plánovanie, manažment a kontr'!$AG$95</f>
        <v>0</v>
      </c>
      <c r="O21" s="620">
        <f>'[3]1.Plánovanie, manažment a kontr'!$AH$95</f>
        <v>0</v>
      </c>
      <c r="P21" s="541">
        <f t="shared" si="18"/>
        <v>0</v>
      </c>
      <c r="Q21" s="542">
        <f>'[3]1.Plánovanie, manažment a kontr'!$AI$95</f>
        <v>0</v>
      </c>
      <c r="R21" s="542">
        <f>'[3]1.Plánovanie, manažment a kontr'!$AJ$95</f>
        <v>0</v>
      </c>
      <c r="S21" s="543">
        <f>'[3]1.Plánovanie, manažment a kontr'!$AK$95</f>
        <v>0</v>
      </c>
    </row>
    <row r="22" spans="1:19" s="123" customFormat="1" ht="15.75" x14ac:dyDescent="0.25">
      <c r="A22" s="122"/>
      <c r="B22" s="273" t="s">
        <v>169</v>
      </c>
      <c r="C22" s="274"/>
      <c r="D22" s="535">
        <f t="shared" ref="D22:G22" si="19">D23+D32+D35</f>
        <v>41825.520000000004</v>
      </c>
      <c r="E22" s="536">
        <f t="shared" si="19"/>
        <v>41825.520000000004</v>
      </c>
      <c r="F22" s="536">
        <f t="shared" si="19"/>
        <v>0</v>
      </c>
      <c r="G22" s="537">
        <f t="shared" si="19"/>
        <v>0</v>
      </c>
      <c r="H22" s="535">
        <f t="shared" ref="H22:K22" si="20">H23+H32+H35</f>
        <v>33144.959999999999</v>
      </c>
      <c r="I22" s="536">
        <f t="shared" si="20"/>
        <v>33144.959999999999</v>
      </c>
      <c r="J22" s="536">
        <f>J23+J32+J35</f>
        <v>0</v>
      </c>
      <c r="K22" s="537">
        <f t="shared" si="20"/>
        <v>0</v>
      </c>
      <c r="L22" s="263">
        <f t="shared" ref="L22:M22" si="21">L23+L32+L35</f>
        <v>34070</v>
      </c>
      <c r="M22" s="264">
        <f t="shared" si="21"/>
        <v>34070</v>
      </c>
      <c r="N22" s="264">
        <f>N23+N32+N35</f>
        <v>0</v>
      </c>
      <c r="O22" s="341">
        <f t="shared" ref="O22:Q22" si="22">O23+O32+O35</f>
        <v>0</v>
      </c>
      <c r="P22" s="535">
        <f t="shared" si="22"/>
        <v>16675.22</v>
      </c>
      <c r="Q22" s="536">
        <f t="shared" si="22"/>
        <v>16675.22</v>
      </c>
      <c r="R22" s="536">
        <f>R23+R32+R35</f>
        <v>0</v>
      </c>
      <c r="S22" s="537">
        <f t="shared" ref="S22" si="23">S23+S32+S35</f>
        <v>0</v>
      </c>
    </row>
    <row r="23" spans="1:19" ht="15.75" x14ac:dyDescent="0.25">
      <c r="A23" s="121"/>
      <c r="B23" s="269" t="s">
        <v>170</v>
      </c>
      <c r="C23" s="270" t="s">
        <v>171</v>
      </c>
      <c r="D23" s="538">
        <f t="shared" ref="D23:G23" si="24">SUM(D24:D31)</f>
        <v>24548.870000000003</v>
      </c>
      <c r="E23" s="539">
        <f t="shared" si="24"/>
        <v>24548.870000000003</v>
      </c>
      <c r="F23" s="539">
        <f t="shared" si="24"/>
        <v>0</v>
      </c>
      <c r="G23" s="540">
        <f t="shared" si="24"/>
        <v>0</v>
      </c>
      <c r="H23" s="538">
        <f t="shared" ref="H23:J23" si="25">SUM(H24:H31)</f>
        <v>17438.510000000002</v>
      </c>
      <c r="I23" s="539">
        <f t="shared" si="25"/>
        <v>17438.510000000002</v>
      </c>
      <c r="J23" s="539">
        <f t="shared" si="25"/>
        <v>0</v>
      </c>
      <c r="K23" s="540">
        <f>SUM(K24:K31)</f>
        <v>0</v>
      </c>
      <c r="L23" s="258">
        <f t="shared" ref="L23:N23" si="26">SUM(L24:L31)</f>
        <v>20870</v>
      </c>
      <c r="M23" s="257">
        <f t="shared" si="26"/>
        <v>20870</v>
      </c>
      <c r="N23" s="257">
        <f t="shared" si="26"/>
        <v>0</v>
      </c>
      <c r="O23" s="342">
        <f>SUM(O24:O31)</f>
        <v>0</v>
      </c>
      <c r="P23" s="538">
        <f t="shared" ref="P23:R23" si="27">SUM(P24:P31)</f>
        <v>9750.880000000001</v>
      </c>
      <c r="Q23" s="539">
        <f t="shared" si="27"/>
        <v>9750.880000000001</v>
      </c>
      <c r="R23" s="539">
        <f t="shared" si="27"/>
        <v>0</v>
      </c>
      <c r="S23" s="540">
        <f>SUM(S24:S31)</f>
        <v>0</v>
      </c>
    </row>
    <row r="24" spans="1:19" ht="15.75" x14ac:dyDescent="0.25">
      <c r="A24" s="124"/>
      <c r="B24" s="269">
        <v>1</v>
      </c>
      <c r="C24" s="270" t="s">
        <v>172</v>
      </c>
      <c r="D24" s="538">
        <f>SUM(E24:G24)</f>
        <v>340.06</v>
      </c>
      <c r="E24" s="539">
        <f>'[1]2. Propagácia a marketing'!$AC$5</f>
        <v>340.06</v>
      </c>
      <c r="F24" s="539">
        <f>'[1]2. Propagácia a marketing'!$AD$5</f>
        <v>0</v>
      </c>
      <c r="G24" s="540">
        <f>'[1]2. Propagácia a marketing'!$AE$5</f>
        <v>0</v>
      </c>
      <c r="H24" s="538">
        <f>SUM(I24:K24)</f>
        <v>433.52</v>
      </c>
      <c r="I24" s="539">
        <f>'[2]2. Propagácia a marketing'!$AF$5</f>
        <v>433.52</v>
      </c>
      <c r="J24" s="539">
        <f>'[2]2. Propagácia a marketing'!$AG$5</f>
        <v>0</v>
      </c>
      <c r="K24" s="540">
        <f>'[2]2. Propagácia a marketing'!$AH$5</f>
        <v>0</v>
      </c>
      <c r="L24" s="258">
        <f>SUM(M24:O24)</f>
        <v>820</v>
      </c>
      <c r="M24" s="257">
        <f>'[3]2. Propagácia a marketing'!$AF$5</f>
        <v>820</v>
      </c>
      <c r="N24" s="257">
        <f>'[3]2. Propagácia a marketing'!$AG$5</f>
        <v>0</v>
      </c>
      <c r="O24" s="342">
        <f>'[3]2. Propagácia a marketing'!$AH$5</f>
        <v>0</v>
      </c>
      <c r="P24" s="538">
        <f>SUM(Q24:S24)</f>
        <v>400.46</v>
      </c>
      <c r="Q24" s="539">
        <f>'[3]2. Propagácia a marketing'!$AI$5</f>
        <v>400.46</v>
      </c>
      <c r="R24" s="539">
        <f>'[3]2. Propagácia a marketing'!$AJ$5</f>
        <v>0</v>
      </c>
      <c r="S24" s="540">
        <f>'[3]2. Propagácia a marketing'!$AK$5</f>
        <v>0</v>
      </c>
    </row>
    <row r="25" spans="1:19" ht="15.75" x14ac:dyDescent="0.25">
      <c r="A25" s="121"/>
      <c r="B25" s="269">
        <v>2</v>
      </c>
      <c r="C25" s="275" t="s">
        <v>173</v>
      </c>
      <c r="D25" s="538">
        <f t="shared" ref="D25:D31" si="28">SUM(E25:G25)</f>
        <v>3881.3</v>
      </c>
      <c r="E25" s="539">
        <f>'[1]2. Propagácia a marketing'!$AC$7</f>
        <v>3881.3</v>
      </c>
      <c r="F25" s="539">
        <f>'[1]2. Propagácia a marketing'!$AD$7</f>
        <v>0</v>
      </c>
      <c r="G25" s="540">
        <f>'[1]2. Propagácia a marketing'!$AE$7</f>
        <v>0</v>
      </c>
      <c r="H25" s="538">
        <f t="shared" ref="H25:H31" si="29">SUM(I25:K25)</f>
        <v>965.25</v>
      </c>
      <c r="I25" s="539">
        <f>'[2]2. Propagácia a marketing'!$AF$7</f>
        <v>965.25</v>
      </c>
      <c r="J25" s="539">
        <f>'[2]2. Propagácia a marketing'!$AG$7</f>
        <v>0</v>
      </c>
      <c r="K25" s="540">
        <f>'[2]2. Propagácia a marketing'!$AH$7</f>
        <v>0</v>
      </c>
      <c r="L25" s="258">
        <f t="shared" ref="L25:L31" si="30">SUM(M25:O25)</f>
        <v>5000</v>
      </c>
      <c r="M25" s="257">
        <f>'[3]2. Propagácia a marketing'!$AF$7</f>
        <v>5000</v>
      </c>
      <c r="N25" s="257">
        <f>'[3]2. Propagácia a marketing'!$AG$7</f>
        <v>0</v>
      </c>
      <c r="O25" s="342">
        <f>'[3]2. Propagácia a marketing'!$AH$7</f>
        <v>0</v>
      </c>
      <c r="P25" s="538">
        <f t="shared" ref="P25:P31" si="31">SUM(Q25:S25)</f>
        <v>598.4</v>
      </c>
      <c r="Q25" s="539">
        <f>'[3]2. Propagácia a marketing'!$AI$7</f>
        <v>598.4</v>
      </c>
      <c r="R25" s="539">
        <f>'[3]2. Propagácia a marketing'!$AJ$7</f>
        <v>0</v>
      </c>
      <c r="S25" s="540">
        <f>'[3]2. Propagácia a marketing'!$AK$7</f>
        <v>0</v>
      </c>
    </row>
    <row r="26" spans="1:19" ht="15.75" x14ac:dyDescent="0.25">
      <c r="A26" s="121"/>
      <c r="B26" s="269">
        <v>3</v>
      </c>
      <c r="C26" s="270" t="s">
        <v>174</v>
      </c>
      <c r="D26" s="538">
        <f t="shared" si="28"/>
        <v>11119.25</v>
      </c>
      <c r="E26" s="539">
        <f>'[1]2. Propagácia a marketing'!$AC$12</f>
        <v>11119.25</v>
      </c>
      <c r="F26" s="539">
        <f>'[1]2. Propagácia a marketing'!$AD$12</f>
        <v>0</v>
      </c>
      <c r="G26" s="540">
        <f>'[1]2. Propagácia a marketing'!$AE$12</f>
        <v>0</v>
      </c>
      <c r="H26" s="538">
        <f t="shared" si="29"/>
        <v>7039.74</v>
      </c>
      <c r="I26" s="539">
        <f>'[2]2. Propagácia a marketing'!$AF$12</f>
        <v>7039.74</v>
      </c>
      <c r="J26" s="539">
        <f>'[2]2. Propagácia a marketing'!$AG$12</f>
        <v>0</v>
      </c>
      <c r="K26" s="540">
        <f>'[2]2. Propagácia a marketing'!$AH$12</f>
        <v>0</v>
      </c>
      <c r="L26" s="258">
        <f t="shared" si="30"/>
        <v>8050</v>
      </c>
      <c r="M26" s="257">
        <f>'[3]2. Propagácia a marketing'!$AF$12</f>
        <v>8050</v>
      </c>
      <c r="N26" s="257">
        <f>'[3]2. Propagácia a marketing'!$AG$12</f>
        <v>0</v>
      </c>
      <c r="O26" s="342">
        <f>'[3]2. Propagácia a marketing'!$AH$12</f>
        <v>0</v>
      </c>
      <c r="P26" s="538">
        <f t="shared" si="31"/>
        <v>2177.02</v>
      </c>
      <c r="Q26" s="539">
        <f>'[3]2. Propagácia a marketing'!$AI$12</f>
        <v>2177.02</v>
      </c>
      <c r="R26" s="539">
        <f>'[3]2. Propagácia a marketing'!$AJ$12</f>
        <v>0</v>
      </c>
      <c r="S26" s="540">
        <f>'[3]2. Propagácia a marketing'!$AK$12</f>
        <v>0</v>
      </c>
    </row>
    <row r="27" spans="1:19" ht="15.75" x14ac:dyDescent="0.25">
      <c r="A27" s="121"/>
      <c r="B27" s="269">
        <v>4</v>
      </c>
      <c r="C27" s="270" t="s">
        <v>175</v>
      </c>
      <c r="D27" s="538">
        <f t="shared" si="28"/>
        <v>0</v>
      </c>
      <c r="E27" s="539">
        <f>'[1]2. Propagácia a marketing'!$AC$20</f>
        <v>0</v>
      </c>
      <c r="F27" s="539">
        <f>'[1]2. Propagácia a marketing'!$AD$20</f>
        <v>0</v>
      </c>
      <c r="G27" s="540">
        <f>'[1]2. Propagácia a marketing'!$AE$20</f>
        <v>0</v>
      </c>
      <c r="H27" s="538">
        <f t="shared" si="29"/>
        <v>0</v>
      </c>
      <c r="I27" s="539">
        <f>'[2]2. Propagácia a marketing'!$AF$20</f>
        <v>0</v>
      </c>
      <c r="J27" s="539">
        <f>'[2]2. Propagácia a marketing'!$AG$20</f>
        <v>0</v>
      </c>
      <c r="K27" s="540">
        <f>'[2]2. Propagácia a marketing'!$AH$20</f>
        <v>0</v>
      </c>
      <c r="L27" s="258">
        <f t="shared" si="30"/>
        <v>0</v>
      </c>
      <c r="M27" s="257">
        <f>'[3]2. Propagácia a marketing'!$AF$20</f>
        <v>0</v>
      </c>
      <c r="N27" s="257">
        <f>'[3]2. Propagácia a marketing'!$AG$20</f>
        <v>0</v>
      </c>
      <c r="O27" s="342">
        <f>'[3]2. Propagácia a marketing'!$AH$20</f>
        <v>0</v>
      </c>
      <c r="P27" s="538">
        <f t="shared" si="31"/>
        <v>0</v>
      </c>
      <c r="Q27" s="539">
        <f>'[3]2. Propagácia a marketing'!$AI$20</f>
        <v>0</v>
      </c>
      <c r="R27" s="539">
        <f>'[3]2. Propagácia a marketing'!$AJ$20</f>
        <v>0</v>
      </c>
      <c r="S27" s="540">
        <f>'[3]2. Propagácia a marketing'!$AK$20</f>
        <v>0</v>
      </c>
    </row>
    <row r="28" spans="1:19" ht="15.75" x14ac:dyDescent="0.25">
      <c r="A28" s="121"/>
      <c r="B28" s="269">
        <v>5</v>
      </c>
      <c r="C28" s="270" t="s">
        <v>176</v>
      </c>
      <c r="D28" s="538">
        <f t="shared" si="28"/>
        <v>0</v>
      </c>
      <c r="E28" s="539">
        <f>'[1]2. Propagácia a marketing'!$AC$22</f>
        <v>0</v>
      </c>
      <c r="F28" s="539">
        <f>'[1]2. Propagácia a marketing'!$AD$22</f>
        <v>0</v>
      </c>
      <c r="G28" s="540">
        <f>'[1]2. Propagácia a marketing'!$AE$22</f>
        <v>0</v>
      </c>
      <c r="H28" s="538">
        <f t="shared" si="29"/>
        <v>0</v>
      </c>
      <c r="I28" s="539">
        <f>'[2]2. Propagácia a marketing'!$AF$22</f>
        <v>0</v>
      </c>
      <c r="J28" s="539">
        <f>'[2]2. Propagácia a marketing'!$AG$22</f>
        <v>0</v>
      </c>
      <c r="K28" s="540">
        <f>'[2]2. Propagácia a marketing'!$AH$22</f>
        <v>0</v>
      </c>
      <c r="L28" s="258">
        <f t="shared" si="30"/>
        <v>0</v>
      </c>
      <c r="M28" s="257">
        <f>'[3]2. Propagácia a marketing'!$AF$22</f>
        <v>0</v>
      </c>
      <c r="N28" s="257">
        <f>'[3]2. Propagácia a marketing'!$AG$22</f>
        <v>0</v>
      </c>
      <c r="O28" s="342">
        <f>'[3]2. Propagácia a marketing'!$AH$22</f>
        <v>0</v>
      </c>
      <c r="P28" s="538">
        <f t="shared" si="31"/>
        <v>0</v>
      </c>
      <c r="Q28" s="539">
        <f>'[3]2. Propagácia a marketing'!$AI$22</f>
        <v>0</v>
      </c>
      <c r="R28" s="539">
        <f>'[3]2. Propagácia a marketing'!$AJ$22</f>
        <v>0</v>
      </c>
      <c r="S28" s="540">
        <f>'[3]2. Propagácia a marketing'!$AK$22</f>
        <v>0</v>
      </c>
    </row>
    <row r="29" spans="1:19" ht="15.75" x14ac:dyDescent="0.25">
      <c r="A29" s="121"/>
      <c r="B29" s="269">
        <v>6</v>
      </c>
      <c r="C29" s="270" t="s">
        <v>177</v>
      </c>
      <c r="D29" s="538">
        <f t="shared" si="28"/>
        <v>0</v>
      </c>
      <c r="E29" s="539">
        <f>'[1]2. Propagácia a marketing'!$AC$25</f>
        <v>0</v>
      </c>
      <c r="F29" s="539">
        <f>'[1]2. Propagácia a marketing'!$AD$25</f>
        <v>0</v>
      </c>
      <c r="G29" s="540">
        <f>'[1]2. Propagácia a marketing'!$AE$25</f>
        <v>0</v>
      </c>
      <c r="H29" s="538">
        <f t="shared" si="29"/>
        <v>0</v>
      </c>
      <c r="I29" s="539">
        <f>'[2]2. Propagácia a marketing'!$AF$25</f>
        <v>0</v>
      </c>
      <c r="J29" s="539">
        <f>'[2]2. Propagácia a marketing'!$AG$25</f>
        <v>0</v>
      </c>
      <c r="K29" s="540">
        <f>'[2]2. Propagácia a marketing'!$AH$25</f>
        <v>0</v>
      </c>
      <c r="L29" s="258">
        <f t="shared" si="30"/>
        <v>0</v>
      </c>
      <c r="M29" s="257">
        <f>'[3]2. Propagácia a marketing'!$AF$25</f>
        <v>0</v>
      </c>
      <c r="N29" s="257">
        <f>'[3]2. Propagácia a marketing'!$AG$25</f>
        <v>0</v>
      </c>
      <c r="O29" s="342">
        <f>'[3]2. Propagácia a marketing'!$AH$25</f>
        <v>0</v>
      </c>
      <c r="P29" s="538">
        <f t="shared" si="31"/>
        <v>0</v>
      </c>
      <c r="Q29" s="539">
        <f>'[3]2. Propagácia a marketing'!$AI$25</f>
        <v>0</v>
      </c>
      <c r="R29" s="539">
        <f>'[3]2. Propagácia a marketing'!$AJ$25</f>
        <v>0</v>
      </c>
      <c r="S29" s="540">
        <f>'[3]2. Propagácia a marketing'!$AK$25</f>
        <v>0</v>
      </c>
    </row>
    <row r="30" spans="1:19" ht="15.75" x14ac:dyDescent="0.25">
      <c r="A30" s="121"/>
      <c r="B30" s="269">
        <v>7</v>
      </c>
      <c r="C30" s="270" t="s">
        <v>178</v>
      </c>
      <c r="D30" s="538">
        <f t="shared" si="28"/>
        <v>2208.2600000000002</v>
      </c>
      <c r="E30" s="539">
        <f>'[1]2. Propagácia a marketing'!$AC$27</f>
        <v>2208.2600000000002</v>
      </c>
      <c r="F30" s="539">
        <f>'[1]2. Propagácia a marketing'!$AD$27</f>
        <v>0</v>
      </c>
      <c r="G30" s="540">
        <f>'[1]2. Propagácia a marketing'!$AE$27</f>
        <v>0</v>
      </c>
      <c r="H30" s="538">
        <f t="shared" si="29"/>
        <v>2000</v>
      </c>
      <c r="I30" s="539">
        <f>'[2]2. Propagácia a marketing'!$AF$27</f>
        <v>2000</v>
      </c>
      <c r="J30" s="539">
        <f>'[2]2. Propagácia a marketing'!$AG$27</f>
        <v>0</v>
      </c>
      <c r="K30" s="540">
        <f>'[2]2. Propagácia a marketing'!$AH$27</f>
        <v>0</v>
      </c>
      <c r="L30" s="258">
        <f t="shared" si="30"/>
        <v>2000</v>
      </c>
      <c r="M30" s="257">
        <f>'[3]2. Propagácia a marketing'!$AF$27</f>
        <v>2000</v>
      </c>
      <c r="N30" s="257">
        <f>'[3]2. Propagácia a marketing'!$AG$27</f>
        <v>0</v>
      </c>
      <c r="O30" s="342">
        <f>'[3]2. Propagácia a marketing'!$AH$27</f>
        <v>0</v>
      </c>
      <c r="P30" s="538">
        <f t="shared" si="31"/>
        <v>1575</v>
      </c>
      <c r="Q30" s="539">
        <f>'[3]2. Propagácia a marketing'!$AI$27</f>
        <v>1575</v>
      </c>
      <c r="R30" s="539">
        <f>'[3]2. Propagácia a marketing'!$AJ$27</f>
        <v>0</v>
      </c>
      <c r="S30" s="540">
        <f>'[3]2. Propagácia a marketing'!$AK$27</f>
        <v>0</v>
      </c>
    </row>
    <row r="31" spans="1:19" ht="15.75" outlineLevel="1" x14ac:dyDescent="0.25">
      <c r="A31" s="121"/>
      <c r="B31" s="269">
        <v>8</v>
      </c>
      <c r="C31" s="270" t="s">
        <v>432</v>
      </c>
      <c r="D31" s="538">
        <f t="shared" si="28"/>
        <v>7000</v>
      </c>
      <c r="E31" s="539">
        <f>'[1]2. Propagácia a marketing'!$AC$29</f>
        <v>7000</v>
      </c>
      <c r="F31" s="539">
        <f>'[1]2. Propagácia a marketing'!$AD$29</f>
        <v>0</v>
      </c>
      <c r="G31" s="540">
        <f>'[1]2. Propagácia a marketing'!$AE$29</f>
        <v>0</v>
      </c>
      <c r="H31" s="538">
        <f t="shared" si="29"/>
        <v>7000</v>
      </c>
      <c r="I31" s="539">
        <f>'[2]2. Propagácia a marketing'!$AF$29</f>
        <v>7000</v>
      </c>
      <c r="J31" s="539">
        <f>'[2]2. Propagácia a marketing'!$AG$29</f>
        <v>0</v>
      </c>
      <c r="K31" s="540">
        <f>'[2]2. Propagácia a marketing'!$AH$29</f>
        <v>0</v>
      </c>
      <c r="L31" s="258">
        <f t="shared" si="30"/>
        <v>5000</v>
      </c>
      <c r="M31" s="257">
        <f>'[3]2. Propagácia a marketing'!$AF$29</f>
        <v>5000</v>
      </c>
      <c r="N31" s="257">
        <f>'[3]2. Propagácia a marketing'!$AG$29</f>
        <v>0</v>
      </c>
      <c r="O31" s="342">
        <f>'[3]2. Propagácia a marketing'!$AH$29</f>
        <v>0</v>
      </c>
      <c r="P31" s="538">
        <f t="shared" si="31"/>
        <v>5000</v>
      </c>
      <c r="Q31" s="539">
        <f>'[3]2. Propagácia a marketing'!$AI$29</f>
        <v>5000</v>
      </c>
      <c r="R31" s="539">
        <f>'[3]2. Propagácia a marketing'!$AJ$29</f>
        <v>0</v>
      </c>
      <c r="S31" s="540">
        <f>'[3]2. Propagácia a marketing'!$AK$29</f>
        <v>0</v>
      </c>
    </row>
    <row r="32" spans="1:19" ht="15.75" x14ac:dyDescent="0.25">
      <c r="B32" s="269" t="s">
        <v>180</v>
      </c>
      <c r="C32" s="270" t="s">
        <v>181</v>
      </c>
      <c r="D32" s="538">
        <f t="shared" ref="D32:G32" si="32">SUM(D33:D34)</f>
        <v>12863.94</v>
      </c>
      <c r="E32" s="539">
        <f t="shared" si="32"/>
        <v>12863.94</v>
      </c>
      <c r="F32" s="539">
        <f t="shared" si="32"/>
        <v>0</v>
      </c>
      <c r="G32" s="540">
        <f t="shared" si="32"/>
        <v>0</v>
      </c>
      <c r="H32" s="538">
        <f t="shared" ref="H32:K32" si="33">SUM(H33:H34)</f>
        <v>11079.91</v>
      </c>
      <c r="I32" s="539">
        <f t="shared" si="33"/>
        <v>11079.91</v>
      </c>
      <c r="J32" s="539">
        <f t="shared" si="33"/>
        <v>0</v>
      </c>
      <c r="K32" s="540">
        <f t="shared" si="33"/>
        <v>0</v>
      </c>
      <c r="L32" s="258">
        <f t="shared" ref="L32:O32" si="34">SUM(L33:L34)</f>
        <v>5500</v>
      </c>
      <c r="M32" s="257">
        <f t="shared" si="34"/>
        <v>5500</v>
      </c>
      <c r="N32" s="257">
        <f t="shared" si="34"/>
        <v>0</v>
      </c>
      <c r="O32" s="342">
        <f t="shared" si="34"/>
        <v>0</v>
      </c>
      <c r="P32" s="538">
        <f t="shared" ref="P32:S32" si="35">SUM(P33:P34)</f>
        <v>1538.5</v>
      </c>
      <c r="Q32" s="539">
        <f t="shared" si="35"/>
        <v>1538.5</v>
      </c>
      <c r="R32" s="539">
        <f t="shared" si="35"/>
        <v>0</v>
      </c>
      <c r="S32" s="540">
        <f t="shared" si="35"/>
        <v>0</v>
      </c>
    </row>
    <row r="33" spans="1:19" ht="15.75" x14ac:dyDescent="0.25">
      <c r="B33" s="269">
        <v>1</v>
      </c>
      <c r="C33" s="270" t="s">
        <v>182</v>
      </c>
      <c r="D33" s="538">
        <f>SUM(E33:G33)</f>
        <v>11793.94</v>
      </c>
      <c r="E33" s="539">
        <f>'[1]2. Propagácia a marketing'!$AC$32</f>
        <v>11793.94</v>
      </c>
      <c r="F33" s="539">
        <f>'[1]2. Propagácia a marketing'!$AD$32</f>
        <v>0</v>
      </c>
      <c r="G33" s="540">
        <f>'[1]2. Propagácia a marketing'!$AE$32</f>
        <v>0</v>
      </c>
      <c r="H33" s="538">
        <f>SUM(I33:K33)</f>
        <v>10509.91</v>
      </c>
      <c r="I33" s="539">
        <f>'[2]2. Propagácia a marketing'!$AF$32</f>
        <v>10509.91</v>
      </c>
      <c r="J33" s="539">
        <f>'[2]2. Propagácia a marketing'!$AG$32</f>
        <v>0</v>
      </c>
      <c r="K33" s="540">
        <f>'[2]2. Propagácia a marketing'!$AH$32</f>
        <v>0</v>
      </c>
      <c r="L33" s="258">
        <f>SUM(M33:O33)</f>
        <v>4000</v>
      </c>
      <c r="M33" s="257">
        <f>'[3]2. Propagácia a marketing'!$AF$32</f>
        <v>4000</v>
      </c>
      <c r="N33" s="257">
        <f>'[3]2. Propagácia a marketing'!$AG$32</f>
        <v>0</v>
      </c>
      <c r="O33" s="342">
        <f>'[3]2. Propagácia a marketing'!$AH$32</f>
        <v>0</v>
      </c>
      <c r="P33" s="538">
        <f>SUM(Q33:S33)</f>
        <v>1038.5</v>
      </c>
      <c r="Q33" s="539">
        <f>'[3]2. Propagácia a marketing'!$AI$32</f>
        <v>1038.5</v>
      </c>
      <c r="R33" s="539">
        <f>'[3]2. Propagácia a marketing'!$AJ$32</f>
        <v>0</v>
      </c>
      <c r="S33" s="540">
        <f>'[3]2. Propagácia a marketing'!$AK$32</f>
        <v>0</v>
      </c>
    </row>
    <row r="34" spans="1:19" ht="15.75" x14ac:dyDescent="0.25">
      <c r="B34" s="269">
        <v>2</v>
      </c>
      <c r="C34" s="270" t="s">
        <v>183</v>
      </c>
      <c r="D34" s="538">
        <f>SUM(E34:G34)</f>
        <v>1070</v>
      </c>
      <c r="E34" s="539">
        <f>'[1]2. Propagácia a marketing'!$AC$46</f>
        <v>1070</v>
      </c>
      <c r="F34" s="539">
        <f>'[1]2. Propagácia a marketing'!$AD$46</f>
        <v>0</v>
      </c>
      <c r="G34" s="540">
        <f>'[1]2. Propagácia a marketing'!$AE$46</f>
        <v>0</v>
      </c>
      <c r="H34" s="538">
        <f>SUM(I34:K34)</f>
        <v>570</v>
      </c>
      <c r="I34" s="539">
        <f>'[2]2. Propagácia a marketing'!$AF$46</f>
        <v>570</v>
      </c>
      <c r="J34" s="539">
        <f>'[2]2. Propagácia a marketing'!$AG$46</f>
        <v>0</v>
      </c>
      <c r="K34" s="540">
        <f>'[2]2. Propagácia a marketing'!$AH$46</f>
        <v>0</v>
      </c>
      <c r="L34" s="258">
        <f>SUM(M34:O34)</f>
        <v>1500</v>
      </c>
      <c r="M34" s="257">
        <f>'[3]2. Propagácia a marketing'!$AF$46</f>
        <v>1500</v>
      </c>
      <c r="N34" s="257">
        <f>'[3]2. Propagácia a marketing'!$AG$46</f>
        <v>0</v>
      </c>
      <c r="O34" s="342">
        <f>'[3]2. Propagácia a marketing'!$AH$46</f>
        <v>0</v>
      </c>
      <c r="P34" s="538">
        <f>SUM(Q34:S34)</f>
        <v>500</v>
      </c>
      <c r="Q34" s="539">
        <f>'[3]2. Propagácia a marketing'!$AI$46</f>
        <v>500</v>
      </c>
      <c r="R34" s="539">
        <f>'[3]2. Propagácia a marketing'!$AJ$46</f>
        <v>0</v>
      </c>
      <c r="S34" s="540">
        <f>'[3]2. Propagácia a marketing'!$AK$46</f>
        <v>0</v>
      </c>
    </row>
    <row r="35" spans="1:19" ht="16.5" thickBot="1" x14ac:dyDescent="0.3">
      <c r="A35" s="124"/>
      <c r="B35" s="271" t="s">
        <v>184</v>
      </c>
      <c r="C35" s="272" t="s">
        <v>185</v>
      </c>
      <c r="D35" s="541">
        <f>SUM(E35:G35)</f>
        <v>4412.71</v>
      </c>
      <c r="E35" s="542">
        <f>'[1]2. Propagácia a marketing'!$AC$51</f>
        <v>4412.71</v>
      </c>
      <c r="F35" s="542">
        <f>'[1]2. Propagácia a marketing'!$AD$51</f>
        <v>0</v>
      </c>
      <c r="G35" s="543">
        <f>'[1]2. Propagácia a marketing'!$AE$51</f>
        <v>0</v>
      </c>
      <c r="H35" s="541">
        <f>SUM(I35:K35)</f>
        <v>4626.54</v>
      </c>
      <c r="I35" s="542">
        <f>'[2]2. Propagácia a marketing'!$AF$51</f>
        <v>4626.54</v>
      </c>
      <c r="J35" s="542">
        <f>'[2]2. Propagácia a marketing'!$AG$51</f>
        <v>0</v>
      </c>
      <c r="K35" s="543">
        <f>'[2]2. Propagácia a marketing'!$AH$51</f>
        <v>0</v>
      </c>
      <c r="L35" s="265">
        <f>SUM(M35:O35)</f>
        <v>7700</v>
      </c>
      <c r="M35" s="266">
        <f>'[3]2. Propagácia a marketing'!$AF$51</f>
        <v>7700</v>
      </c>
      <c r="N35" s="266">
        <f>'[3]2. Propagácia a marketing'!$AG$51</f>
        <v>0</v>
      </c>
      <c r="O35" s="620">
        <f>'[3]2. Propagácia a marketing'!$AH$51</f>
        <v>0</v>
      </c>
      <c r="P35" s="541">
        <f>SUM(Q35:S35)</f>
        <v>5385.84</v>
      </c>
      <c r="Q35" s="542">
        <f>'[3]2. Propagácia a marketing'!$AI$51</f>
        <v>5385.84</v>
      </c>
      <c r="R35" s="542">
        <f>'[3]2. Propagácia a marketing'!$AJ$51</f>
        <v>0</v>
      </c>
      <c r="S35" s="543">
        <f>'[3]2. Propagácia a marketing'!$AK$51</f>
        <v>0</v>
      </c>
    </row>
    <row r="36" spans="1:19" s="123" customFormat="1" ht="15.75" x14ac:dyDescent="0.25">
      <c r="A36" s="111"/>
      <c r="B36" s="273" t="s">
        <v>186</v>
      </c>
      <c r="C36" s="377"/>
      <c r="D36" s="535">
        <f t="shared" ref="D36:G36" si="36">D37+D38+D39+D44+D45</f>
        <v>443789.25999999995</v>
      </c>
      <c r="E36" s="536">
        <f t="shared" si="36"/>
        <v>305033.25999999995</v>
      </c>
      <c r="F36" s="536">
        <f t="shared" si="36"/>
        <v>138756</v>
      </c>
      <c r="G36" s="537">
        <f t="shared" si="36"/>
        <v>0</v>
      </c>
      <c r="H36" s="535">
        <f t="shared" ref="H36:K36" si="37">H37+H38+H39+H44+H45</f>
        <v>385594.04</v>
      </c>
      <c r="I36" s="536">
        <f t="shared" si="37"/>
        <v>375436.81999999995</v>
      </c>
      <c r="J36" s="536">
        <f t="shared" si="37"/>
        <v>10157.219999999999</v>
      </c>
      <c r="K36" s="537">
        <f t="shared" si="37"/>
        <v>0</v>
      </c>
      <c r="L36" s="263">
        <f t="shared" ref="L36:O36" si="38">L37+L38+L39+L44+L45</f>
        <v>353266</v>
      </c>
      <c r="M36" s="264">
        <f t="shared" si="38"/>
        <v>340416</v>
      </c>
      <c r="N36" s="264">
        <f t="shared" si="38"/>
        <v>12850</v>
      </c>
      <c r="O36" s="341">
        <f t="shared" si="38"/>
        <v>0</v>
      </c>
      <c r="P36" s="535">
        <f t="shared" ref="P36:S36" si="39">P37+P38+P39+P44+P45</f>
        <v>304493.24999999994</v>
      </c>
      <c r="Q36" s="536">
        <f t="shared" si="39"/>
        <v>292991.64999999997</v>
      </c>
      <c r="R36" s="536">
        <f t="shared" si="39"/>
        <v>11501.6</v>
      </c>
      <c r="S36" s="537">
        <f t="shared" si="39"/>
        <v>0</v>
      </c>
    </row>
    <row r="37" spans="1:19" ht="15.75" x14ac:dyDescent="0.25">
      <c r="A37" s="121"/>
      <c r="B37" s="269" t="s">
        <v>187</v>
      </c>
      <c r="C37" s="270" t="s">
        <v>188</v>
      </c>
      <c r="D37" s="538">
        <f>SUM(E37:G37)</f>
        <v>233355.6</v>
      </c>
      <c r="E37" s="539">
        <f>'[1]3.Interné služby'!$AC$4</f>
        <v>94599.6</v>
      </c>
      <c r="F37" s="539">
        <f>'[1]3.Interné služby'!$AD$4</f>
        <v>138756</v>
      </c>
      <c r="G37" s="540">
        <f>'[1]3.Interné služby'!$AE$4</f>
        <v>0</v>
      </c>
      <c r="H37" s="538">
        <f>SUM(I37:K37)</f>
        <v>77675.92</v>
      </c>
      <c r="I37" s="539">
        <f>'[2]3.Interné služby'!$AF$4</f>
        <v>77675.92</v>
      </c>
      <c r="J37" s="539">
        <f>'[2]3.Interné služby'!$AG$4</f>
        <v>0</v>
      </c>
      <c r="K37" s="540">
        <f>'[2]3.Interné služby'!$AH$4</f>
        <v>0</v>
      </c>
      <c r="L37" s="258">
        <f>SUM(M37:O37)</f>
        <v>102198</v>
      </c>
      <c r="M37" s="257">
        <f>'[3]3.Interné služby'!$AF$4</f>
        <v>97078</v>
      </c>
      <c r="N37" s="257">
        <f>'[3]3.Interné služby'!$AG$4</f>
        <v>5120</v>
      </c>
      <c r="O37" s="342">
        <f>'[3]3.Interné služby'!$AH$4</f>
        <v>0</v>
      </c>
      <c r="P37" s="538">
        <f>SUM(Q37:S37)</f>
        <v>87573.440000000002</v>
      </c>
      <c r="Q37" s="539">
        <f>'[3]3.Interné služby'!$AI$4</f>
        <v>82456.639999999999</v>
      </c>
      <c r="R37" s="539">
        <f>'[3]3.Interné služby'!$AJ$4</f>
        <v>5116.8</v>
      </c>
      <c r="S37" s="540">
        <f>'[3]3.Interné služby'!$AK$4</f>
        <v>0</v>
      </c>
    </row>
    <row r="38" spans="1:19" ht="15.75" x14ac:dyDescent="0.25">
      <c r="A38" s="124"/>
      <c r="B38" s="269" t="s">
        <v>189</v>
      </c>
      <c r="C38" s="270" t="s">
        <v>190</v>
      </c>
      <c r="D38" s="538">
        <f>SUM(E38:G38)</f>
        <v>222.33</v>
      </c>
      <c r="E38" s="539">
        <f>'[1]3.Interné služby'!$AC$22</f>
        <v>222.33</v>
      </c>
      <c r="F38" s="539">
        <f>'[1]3.Interné služby'!$AD$22</f>
        <v>0</v>
      </c>
      <c r="G38" s="540">
        <f>'[1]3.Interné služby'!$AE$22</f>
        <v>0</v>
      </c>
      <c r="H38" s="538">
        <f>SUM(I38:K38)</f>
        <v>114266.5</v>
      </c>
      <c r="I38" s="539">
        <f>'[2]3.Interné služby'!$AF$23</f>
        <v>114266.5</v>
      </c>
      <c r="J38" s="539">
        <f>'[2]3.Interné služby'!$AG$23</f>
        <v>0</v>
      </c>
      <c r="K38" s="540">
        <f>'[2]3.Interné služby'!$AH$23</f>
        <v>0</v>
      </c>
      <c r="L38" s="258">
        <f>SUM(M38:O38)</f>
        <v>1000</v>
      </c>
      <c r="M38" s="257">
        <f>'[3]3.Interné služby'!$AF$23</f>
        <v>1000</v>
      </c>
      <c r="N38" s="257">
        <f>'[3]3.Interné služby'!$AG$23</f>
        <v>0</v>
      </c>
      <c r="O38" s="342">
        <f>'[3]3.Interné služby'!$AH$23</f>
        <v>0</v>
      </c>
      <c r="P38" s="538">
        <f>SUM(Q38:S38)</f>
        <v>73.8</v>
      </c>
      <c r="Q38" s="539">
        <f>'[3]3.Interné služby'!$AI$23</f>
        <v>73.8</v>
      </c>
      <c r="R38" s="539">
        <f>'[3]3.Interné služby'!$AJ$23</f>
        <v>0</v>
      </c>
      <c r="S38" s="540">
        <f>'[3]3.Interné služby'!$AK$23</f>
        <v>0</v>
      </c>
    </row>
    <row r="39" spans="1:19" ht="15.75" x14ac:dyDescent="0.25">
      <c r="B39" s="269" t="s">
        <v>191</v>
      </c>
      <c r="C39" s="270" t="s">
        <v>192</v>
      </c>
      <c r="D39" s="538">
        <f t="shared" ref="D39:G39" si="40">SUM(D40:D43)</f>
        <v>201606.97999999998</v>
      </c>
      <c r="E39" s="539">
        <f t="shared" si="40"/>
        <v>201606.97999999998</v>
      </c>
      <c r="F39" s="539">
        <f t="shared" si="40"/>
        <v>0</v>
      </c>
      <c r="G39" s="540">
        <f t="shared" si="40"/>
        <v>0</v>
      </c>
      <c r="H39" s="538">
        <f t="shared" ref="H39:K39" si="41">SUM(H40:H43)</f>
        <v>189369.06999999998</v>
      </c>
      <c r="I39" s="539">
        <f t="shared" si="41"/>
        <v>179211.84999999998</v>
      </c>
      <c r="J39" s="539">
        <f t="shared" si="41"/>
        <v>10157.219999999999</v>
      </c>
      <c r="K39" s="540">
        <f t="shared" si="41"/>
        <v>0</v>
      </c>
      <c r="L39" s="258">
        <f t="shared" ref="L39:O39" si="42">SUM(L40:L43)</f>
        <v>242568</v>
      </c>
      <c r="M39" s="257">
        <f t="shared" si="42"/>
        <v>234838</v>
      </c>
      <c r="N39" s="257">
        <f t="shared" si="42"/>
        <v>7730</v>
      </c>
      <c r="O39" s="342">
        <f t="shared" si="42"/>
        <v>0</v>
      </c>
      <c r="P39" s="538">
        <f t="shared" ref="P39:S39" si="43">SUM(P40:P43)</f>
        <v>211994.58999999994</v>
      </c>
      <c r="Q39" s="539">
        <f t="shared" si="43"/>
        <v>205609.78999999995</v>
      </c>
      <c r="R39" s="539">
        <f t="shared" si="43"/>
        <v>6384.8</v>
      </c>
      <c r="S39" s="540">
        <f t="shared" si="43"/>
        <v>0</v>
      </c>
    </row>
    <row r="40" spans="1:19" ht="15.75" x14ac:dyDescent="0.25">
      <c r="B40" s="269">
        <v>1</v>
      </c>
      <c r="C40" s="270" t="s">
        <v>193</v>
      </c>
      <c r="D40" s="538">
        <f t="shared" ref="D40:D45" si="44">SUM(E40:G40)</f>
        <v>57</v>
      </c>
      <c r="E40" s="539">
        <f>'[1]3.Interné služby'!$AC$28</f>
        <v>57</v>
      </c>
      <c r="F40" s="539">
        <f>'[1]3.Interné služby'!$AD$28</f>
        <v>0</v>
      </c>
      <c r="G40" s="540">
        <f>'[1]3.Interné služby'!$AE$28</f>
        <v>0</v>
      </c>
      <c r="H40" s="538">
        <f t="shared" ref="H40:H45" si="45">SUM(I40:K40)</f>
        <v>2459.1000000000004</v>
      </c>
      <c r="I40" s="539">
        <f>'[2]3.Interné služby'!$AF$29</f>
        <v>2459.1000000000004</v>
      </c>
      <c r="J40" s="539">
        <f>'[2]3.Interné služby'!$AG$29</f>
        <v>0</v>
      </c>
      <c r="K40" s="540">
        <f>'[2]3.Interné služby'!$AH$29</f>
        <v>0</v>
      </c>
      <c r="L40" s="258">
        <f t="shared" ref="L40:L45" si="46">SUM(M40:O40)</f>
        <v>1800</v>
      </c>
      <c r="M40" s="257">
        <f>'[3]3.Interné služby'!$AF$29</f>
        <v>1800</v>
      </c>
      <c r="N40" s="257">
        <f>'[3]3.Interné služby'!$AG$29</f>
        <v>0</v>
      </c>
      <c r="O40" s="342">
        <f>'[3]3.Interné služby'!$AH$29</f>
        <v>0</v>
      </c>
      <c r="P40" s="538">
        <f t="shared" ref="P40:P45" si="47">SUM(Q40:S40)</f>
        <v>744</v>
      </c>
      <c r="Q40" s="539">
        <f>'[3]3.Interné služby'!$AI$29</f>
        <v>744</v>
      </c>
      <c r="R40" s="539">
        <f>'[3]3.Interné služby'!$AJ$29</f>
        <v>0</v>
      </c>
      <c r="S40" s="540">
        <f>'[3]3.Interné služby'!$AK$29</f>
        <v>0</v>
      </c>
    </row>
    <row r="41" spans="1:19" ht="15.75" x14ac:dyDescent="0.25">
      <c r="B41" s="269">
        <v>2</v>
      </c>
      <c r="C41" s="270" t="s">
        <v>194</v>
      </c>
      <c r="D41" s="538">
        <f t="shared" si="44"/>
        <v>7203.11</v>
      </c>
      <c r="E41" s="539">
        <f>'[1]3.Interné služby'!$AC$33</f>
        <v>7203.11</v>
      </c>
      <c r="F41" s="539">
        <f>'[1]3.Interné služby'!$AD$33</f>
        <v>0</v>
      </c>
      <c r="G41" s="540">
        <f>'[1]3.Interné služby'!$AE$33</f>
        <v>0</v>
      </c>
      <c r="H41" s="538">
        <f t="shared" si="45"/>
        <v>15772.080000000002</v>
      </c>
      <c r="I41" s="539">
        <f>'[2]3.Interné služby'!$AF$34</f>
        <v>15772.080000000002</v>
      </c>
      <c r="J41" s="539">
        <f>'[2]3.Interné služby'!$AG$34</f>
        <v>0</v>
      </c>
      <c r="K41" s="540">
        <f>'[2]3.Interné služby'!$AH$34</f>
        <v>0</v>
      </c>
      <c r="L41" s="258">
        <f t="shared" si="46"/>
        <v>16650</v>
      </c>
      <c r="M41" s="257">
        <f>'[3]3.Interné služby'!$AF$34</f>
        <v>16650</v>
      </c>
      <c r="N41" s="257">
        <f>'[3]3.Interné služby'!$AG$34</f>
        <v>0</v>
      </c>
      <c r="O41" s="342">
        <f>'[3]3.Interné služby'!$AH$34</f>
        <v>0</v>
      </c>
      <c r="P41" s="538">
        <f t="shared" si="47"/>
        <v>16390.490000000002</v>
      </c>
      <c r="Q41" s="539">
        <f>'[3]3.Interné služby'!$AI$34</f>
        <v>16390.490000000002</v>
      </c>
      <c r="R41" s="539">
        <f>'[3]3.Interné služby'!$AJ$34</f>
        <v>0</v>
      </c>
      <c r="S41" s="540">
        <f>'[3]3.Interné služby'!$AK$34</f>
        <v>0</v>
      </c>
    </row>
    <row r="42" spans="1:19" ht="15.75" x14ac:dyDescent="0.25">
      <c r="B42" s="269">
        <v>3</v>
      </c>
      <c r="C42" s="270" t="s">
        <v>195</v>
      </c>
      <c r="D42" s="538">
        <f t="shared" si="44"/>
        <v>194080.37</v>
      </c>
      <c r="E42" s="539">
        <f>'[1]3.Interné služby'!$AC$36</f>
        <v>194080.37</v>
      </c>
      <c r="F42" s="539">
        <f>'[1]3.Interné služby'!$AD$36</f>
        <v>0</v>
      </c>
      <c r="G42" s="540">
        <f>'[1]3.Interné služby'!$AE$36</f>
        <v>0</v>
      </c>
      <c r="H42" s="538">
        <f t="shared" si="45"/>
        <v>159581.66999999998</v>
      </c>
      <c r="I42" s="539">
        <f>'[2]3.Interné služby'!$AF$37</f>
        <v>159579.66999999998</v>
      </c>
      <c r="J42" s="539">
        <f>'[2]3.Interné služby'!$AG$37</f>
        <v>2</v>
      </c>
      <c r="K42" s="540">
        <f>'[2]3.Interné služby'!$AH$37</f>
        <v>0</v>
      </c>
      <c r="L42" s="258">
        <f t="shared" si="46"/>
        <v>215688</v>
      </c>
      <c r="M42" s="257">
        <f>'[3]3.Interné služby'!$AF$37</f>
        <v>215688</v>
      </c>
      <c r="N42" s="257">
        <f>'[3]3.Interné služby'!$AG$37</f>
        <v>0</v>
      </c>
      <c r="O42" s="342">
        <f>'[3]3.Interné služby'!$AH$37</f>
        <v>0</v>
      </c>
      <c r="P42" s="538">
        <f t="shared" si="47"/>
        <v>188175.29999999996</v>
      </c>
      <c r="Q42" s="539">
        <f>'[3]3.Interné služby'!$AI$37</f>
        <v>188175.29999999996</v>
      </c>
      <c r="R42" s="539">
        <f>'[3]3.Interné služby'!$AJ$37</f>
        <v>0</v>
      </c>
      <c r="S42" s="540">
        <f>'[3]3.Interné služby'!$AK$37</f>
        <v>0</v>
      </c>
    </row>
    <row r="43" spans="1:19" ht="15.75" x14ac:dyDescent="0.25">
      <c r="B43" s="269">
        <v>4</v>
      </c>
      <c r="C43" s="270" t="s">
        <v>196</v>
      </c>
      <c r="D43" s="538">
        <f t="shared" si="44"/>
        <v>266.5</v>
      </c>
      <c r="E43" s="539">
        <f>'[1]3.Interné služby'!$AC$92</f>
        <v>266.5</v>
      </c>
      <c r="F43" s="539">
        <f>'[1]3.Interné služby'!$AD$92</f>
        <v>0</v>
      </c>
      <c r="G43" s="540">
        <f>'[1]3.Interné služby'!$AE$92</f>
        <v>0</v>
      </c>
      <c r="H43" s="538">
        <f t="shared" si="45"/>
        <v>11556.22</v>
      </c>
      <c r="I43" s="539">
        <f>'[2]3.Interné služby'!$AF$95</f>
        <v>1401</v>
      </c>
      <c r="J43" s="539">
        <f>'[2]3.Interné služby'!$AG$95</f>
        <v>10155.219999999999</v>
      </c>
      <c r="K43" s="540">
        <f>'[2]3.Interné služby'!$AH$95</f>
        <v>0</v>
      </c>
      <c r="L43" s="258">
        <f t="shared" si="46"/>
        <v>8430</v>
      </c>
      <c r="M43" s="257">
        <f>'[3]3.Interné služby'!$AF$95</f>
        <v>700</v>
      </c>
      <c r="N43" s="257">
        <f>'[3]3.Interné služby'!$AG$95</f>
        <v>7730</v>
      </c>
      <c r="O43" s="342">
        <f>'[3]3.Interné služby'!$AH$95</f>
        <v>0</v>
      </c>
      <c r="P43" s="538">
        <f t="shared" si="47"/>
        <v>6684.8</v>
      </c>
      <c r="Q43" s="539">
        <f>'[3]3.Interné služby'!$AI$95</f>
        <v>300</v>
      </c>
      <c r="R43" s="539">
        <f>'[3]3.Interné služby'!$AJ$95</f>
        <v>6384.8</v>
      </c>
      <c r="S43" s="540">
        <f>'[3]3.Interné služby'!$AK$95</f>
        <v>0</v>
      </c>
    </row>
    <row r="44" spans="1:19" ht="15.75" x14ac:dyDescent="0.25">
      <c r="B44" s="269" t="s">
        <v>197</v>
      </c>
      <c r="C44" s="270" t="s">
        <v>198</v>
      </c>
      <c r="D44" s="538">
        <f t="shared" si="44"/>
        <v>8604.35</v>
      </c>
      <c r="E44" s="539">
        <f>'[1]3.Interné služby'!$AC$97</f>
        <v>8604.35</v>
      </c>
      <c r="F44" s="539">
        <f>'[1]3.Interné služby'!$AD$97</f>
        <v>0</v>
      </c>
      <c r="G44" s="540">
        <f>'[1]3.Interné služby'!$AE$97</f>
        <v>0</v>
      </c>
      <c r="H44" s="538">
        <f t="shared" si="45"/>
        <v>4282.55</v>
      </c>
      <c r="I44" s="539">
        <f>'[2]3.Interné služby'!$AF$100</f>
        <v>4282.55</v>
      </c>
      <c r="J44" s="539">
        <f>'[2]3.Interné služby'!$AG$100</f>
        <v>0</v>
      </c>
      <c r="K44" s="540">
        <f>'[2]3.Interné služby'!$AH$100</f>
        <v>0</v>
      </c>
      <c r="L44" s="258">
        <f t="shared" si="46"/>
        <v>7000</v>
      </c>
      <c r="M44" s="257">
        <f>'[3]3.Interné služby'!$AF$100</f>
        <v>7000</v>
      </c>
      <c r="N44" s="257">
        <f>'[3]3.Interné služby'!$AG$100</f>
        <v>0</v>
      </c>
      <c r="O44" s="342">
        <f>'[3]3.Interné služby'!$AH$100</f>
        <v>0</v>
      </c>
      <c r="P44" s="538">
        <f t="shared" si="47"/>
        <v>4851.42</v>
      </c>
      <c r="Q44" s="539">
        <f>'[3]3.Interné služby'!$AI$100</f>
        <v>4851.42</v>
      </c>
      <c r="R44" s="539">
        <f>'[3]3.Interné služby'!$AJ$100</f>
        <v>0</v>
      </c>
      <c r="S44" s="540">
        <f>'[3]3.Interné služby'!$AK$100</f>
        <v>0</v>
      </c>
    </row>
    <row r="45" spans="1:19" ht="16.5" thickBot="1" x14ac:dyDescent="0.3">
      <c r="B45" s="276" t="s">
        <v>199</v>
      </c>
      <c r="C45" s="272" t="s">
        <v>200</v>
      </c>
      <c r="D45" s="541">
        <f t="shared" si="44"/>
        <v>0</v>
      </c>
      <c r="E45" s="542">
        <f>'[1]3.Interné služby'!$AC$103</f>
        <v>0</v>
      </c>
      <c r="F45" s="542">
        <f>'[1]3.Interné služby'!$AD$103</f>
        <v>0</v>
      </c>
      <c r="G45" s="543">
        <f>'[1]3.Interné služby'!$AE$103</f>
        <v>0</v>
      </c>
      <c r="H45" s="541">
        <f t="shared" si="45"/>
        <v>0</v>
      </c>
      <c r="I45" s="542">
        <f>'[2]3.Interné služby'!$AF$106</f>
        <v>0</v>
      </c>
      <c r="J45" s="542">
        <f>'[2]3.Interné služby'!$AG$106</f>
        <v>0</v>
      </c>
      <c r="K45" s="543">
        <f>'[2]3.Interné služby'!$AH$106</f>
        <v>0</v>
      </c>
      <c r="L45" s="265">
        <f t="shared" si="46"/>
        <v>500</v>
      </c>
      <c r="M45" s="266">
        <f>'[3]3.Interné služby'!$AF$106</f>
        <v>500</v>
      </c>
      <c r="N45" s="266">
        <f>'[3]3.Interné služby'!$AG$106</f>
        <v>0</v>
      </c>
      <c r="O45" s="620">
        <f>'[3]3.Interné služby'!$AH$106</f>
        <v>0</v>
      </c>
      <c r="P45" s="541">
        <f t="shared" si="47"/>
        <v>0</v>
      </c>
      <c r="Q45" s="542">
        <f>'[3]3.Interné služby'!$AI$106</f>
        <v>0</v>
      </c>
      <c r="R45" s="542">
        <f>'[3]3.Interné služby'!$AJ$106</f>
        <v>0</v>
      </c>
      <c r="S45" s="543">
        <f>'[3]3.Interné služby'!$AK$106</f>
        <v>0</v>
      </c>
    </row>
    <row r="46" spans="1:19" s="123" customFormat="1" ht="15.75" x14ac:dyDescent="0.25">
      <c r="B46" s="277" t="s">
        <v>201</v>
      </c>
      <c r="C46" s="278"/>
      <c r="D46" s="535">
        <f t="shared" ref="D46:G46" si="48">D47+D48+D51</f>
        <v>51852</v>
      </c>
      <c r="E46" s="536">
        <f t="shared" si="48"/>
        <v>51852</v>
      </c>
      <c r="F46" s="536">
        <f t="shared" si="48"/>
        <v>0</v>
      </c>
      <c r="G46" s="537">
        <f t="shared" si="48"/>
        <v>0</v>
      </c>
      <c r="H46" s="535">
        <f t="shared" ref="H46:K46" si="49">H47+H48+H51</f>
        <v>55121.020000000004</v>
      </c>
      <c r="I46" s="536">
        <f t="shared" si="49"/>
        <v>55121.020000000004</v>
      </c>
      <c r="J46" s="536">
        <f t="shared" si="49"/>
        <v>0</v>
      </c>
      <c r="K46" s="537">
        <f t="shared" si="49"/>
        <v>0</v>
      </c>
      <c r="L46" s="263">
        <f t="shared" ref="L46:O46" si="50">L47+L48+L51</f>
        <v>63100</v>
      </c>
      <c r="M46" s="264">
        <f t="shared" si="50"/>
        <v>63100</v>
      </c>
      <c r="N46" s="264">
        <f t="shared" si="50"/>
        <v>0</v>
      </c>
      <c r="O46" s="341">
        <f t="shared" si="50"/>
        <v>0</v>
      </c>
      <c r="P46" s="535">
        <f t="shared" ref="P46:S46" si="51">P47+P48+P51</f>
        <v>52766.450000000004</v>
      </c>
      <c r="Q46" s="536">
        <f t="shared" si="51"/>
        <v>52766.450000000004</v>
      </c>
      <c r="R46" s="536">
        <f t="shared" si="51"/>
        <v>0</v>
      </c>
      <c r="S46" s="537">
        <f t="shared" si="51"/>
        <v>0</v>
      </c>
    </row>
    <row r="47" spans="1:19" ht="15.75" x14ac:dyDescent="0.25">
      <c r="B47" s="269" t="s">
        <v>202</v>
      </c>
      <c r="C47" s="270" t="s">
        <v>203</v>
      </c>
      <c r="D47" s="538">
        <f>SUM(E47:G47)</f>
        <v>21328.589999999997</v>
      </c>
      <c r="E47" s="539">
        <f>'[1]4.Služby občanov'!$AC$4</f>
        <v>21328.589999999997</v>
      </c>
      <c r="F47" s="539">
        <f>'[1]4.Služby občanov'!$AD$4</f>
        <v>0</v>
      </c>
      <c r="G47" s="540">
        <f>'[1]4.Služby občanov'!$AE$4</f>
        <v>0</v>
      </c>
      <c r="H47" s="538">
        <f>SUM(I47:K47)</f>
        <v>21559.89</v>
      </c>
      <c r="I47" s="539">
        <f>'[2]4.Služby občanov'!$AF$4</f>
        <v>21559.89</v>
      </c>
      <c r="J47" s="539">
        <f>'[2]4.Služby občanov'!$AG$4</f>
        <v>0</v>
      </c>
      <c r="K47" s="540">
        <f>'[2]4.Služby občanov'!$AH$4</f>
        <v>0</v>
      </c>
      <c r="L47" s="258">
        <f>SUM(M47:O47)</f>
        <v>26650</v>
      </c>
      <c r="M47" s="257">
        <f>'[3]4.Služby občanov'!$AF$4</f>
        <v>26650</v>
      </c>
      <c r="N47" s="257">
        <f>'[3]4.Služby občanov'!$AG$4</f>
        <v>0</v>
      </c>
      <c r="O47" s="342">
        <f>'[3]4.Služby občanov'!$AH$4</f>
        <v>0</v>
      </c>
      <c r="P47" s="538">
        <f>SUM(Q47:S47)</f>
        <v>19963.559999999998</v>
      </c>
      <c r="Q47" s="539">
        <f>'[3]4.Služby občanov'!$AI$4</f>
        <v>19963.559999999998</v>
      </c>
      <c r="R47" s="539">
        <f>'[3]4.Služby občanov'!$AJ$4</f>
        <v>0</v>
      </c>
      <c r="S47" s="540">
        <f>'[3]4.Služby občanov'!$AK$4</f>
        <v>0</v>
      </c>
    </row>
    <row r="48" spans="1:19" ht="15.75" x14ac:dyDescent="0.25">
      <c r="A48" s="125"/>
      <c r="B48" s="269" t="s">
        <v>204</v>
      </c>
      <c r="C48" s="270" t="s">
        <v>205</v>
      </c>
      <c r="D48" s="538">
        <f t="shared" ref="D48:G48" si="52">SUM(D49:D50)</f>
        <v>30523.410000000003</v>
      </c>
      <c r="E48" s="539">
        <f t="shared" si="52"/>
        <v>30523.410000000003</v>
      </c>
      <c r="F48" s="539">
        <f t="shared" si="52"/>
        <v>0</v>
      </c>
      <c r="G48" s="540">
        <f t="shared" si="52"/>
        <v>0</v>
      </c>
      <c r="H48" s="538">
        <f t="shared" ref="H48:K48" si="53">SUM(H49:H50)</f>
        <v>33561.130000000005</v>
      </c>
      <c r="I48" s="539">
        <f t="shared" si="53"/>
        <v>33561.130000000005</v>
      </c>
      <c r="J48" s="539">
        <f t="shared" si="53"/>
        <v>0</v>
      </c>
      <c r="K48" s="540">
        <f t="shared" si="53"/>
        <v>0</v>
      </c>
      <c r="L48" s="258">
        <f t="shared" ref="L48:O48" si="54">SUM(L49:L50)</f>
        <v>36450</v>
      </c>
      <c r="M48" s="257">
        <f t="shared" si="54"/>
        <v>36450</v>
      </c>
      <c r="N48" s="257">
        <f t="shared" si="54"/>
        <v>0</v>
      </c>
      <c r="O48" s="342">
        <f t="shared" si="54"/>
        <v>0</v>
      </c>
      <c r="P48" s="538">
        <f t="shared" ref="P48:S48" si="55">SUM(P49:P50)</f>
        <v>32802.890000000007</v>
      </c>
      <c r="Q48" s="539">
        <f t="shared" si="55"/>
        <v>32802.890000000007</v>
      </c>
      <c r="R48" s="539">
        <f t="shared" si="55"/>
        <v>0</v>
      </c>
      <c r="S48" s="540">
        <f t="shared" si="55"/>
        <v>0</v>
      </c>
    </row>
    <row r="49" spans="1:19" ht="15.75" x14ac:dyDescent="0.25">
      <c r="A49" s="125"/>
      <c r="B49" s="269">
        <v>1</v>
      </c>
      <c r="C49" s="270" t="s">
        <v>206</v>
      </c>
      <c r="D49" s="538">
        <f>SUM(E49:G49)</f>
        <v>30523.410000000003</v>
      </c>
      <c r="E49" s="539">
        <f>'[1]4.Služby občanov'!$AC$17</f>
        <v>30523.410000000003</v>
      </c>
      <c r="F49" s="539">
        <f>'[1]4.Služby občanov'!$AD$17</f>
        <v>0</v>
      </c>
      <c r="G49" s="540">
        <f>'[1]4.Služby občanov'!$AE$17</f>
        <v>0</v>
      </c>
      <c r="H49" s="538">
        <f>SUM(I49:K49)</f>
        <v>33561.130000000005</v>
      </c>
      <c r="I49" s="539">
        <f>'[2]4.Služby občanov'!$AF$17</f>
        <v>33561.130000000005</v>
      </c>
      <c r="J49" s="539">
        <f>'[2]4.Služby občanov'!$AG$17</f>
        <v>0</v>
      </c>
      <c r="K49" s="540">
        <f>'[2]4.Služby občanov'!$AH$17</f>
        <v>0</v>
      </c>
      <c r="L49" s="258">
        <f>SUM(M49:O49)</f>
        <v>34450</v>
      </c>
      <c r="M49" s="257">
        <f>'[3]4.Služby občanov'!$AF$17</f>
        <v>34450</v>
      </c>
      <c r="N49" s="257">
        <f>'[3]4.Služby občanov'!$AG$17</f>
        <v>0</v>
      </c>
      <c r="O49" s="342">
        <f>'[3]4.Služby občanov'!$AH$17</f>
        <v>0</v>
      </c>
      <c r="P49" s="538">
        <f>SUM(Q49:S49)</f>
        <v>32802.890000000007</v>
      </c>
      <c r="Q49" s="539">
        <f>'[3]4.Služby občanov'!$AI$17</f>
        <v>32802.890000000007</v>
      </c>
      <c r="R49" s="539">
        <f>'[3]4.Služby občanov'!$AJ$17</f>
        <v>0</v>
      </c>
      <c r="S49" s="540">
        <f>'[3]4.Služby občanov'!$AK$17</f>
        <v>0</v>
      </c>
    </row>
    <row r="50" spans="1:19" ht="15.75" x14ac:dyDescent="0.25">
      <c r="A50" s="125"/>
      <c r="B50" s="269">
        <v>2</v>
      </c>
      <c r="C50" s="270" t="s">
        <v>207</v>
      </c>
      <c r="D50" s="538">
        <f>SUM(E50:G50)</f>
        <v>0</v>
      </c>
      <c r="E50" s="539">
        <f>'[1]4.Služby občanov'!$AC$28</f>
        <v>0</v>
      </c>
      <c r="F50" s="539">
        <f>'[1]4.Služby občanov'!$AD$28</f>
        <v>0</v>
      </c>
      <c r="G50" s="540">
        <f>'[1]4.Služby občanov'!$AE$28</f>
        <v>0</v>
      </c>
      <c r="H50" s="538">
        <f>SUM(I50:K50)</f>
        <v>0</v>
      </c>
      <c r="I50" s="539">
        <f>'[2]4.Služby občanov'!$AF$29</f>
        <v>0</v>
      </c>
      <c r="J50" s="539">
        <f>'[2]4.Služby občanov'!$AG$29</f>
        <v>0</v>
      </c>
      <c r="K50" s="540">
        <f>'[2]4.Služby občanov'!$AH$29</f>
        <v>0</v>
      </c>
      <c r="L50" s="258">
        <f>SUM(M50:O50)</f>
        <v>2000</v>
      </c>
      <c r="M50" s="257">
        <f>'[3]4.Služby občanov'!$AF$29</f>
        <v>2000</v>
      </c>
      <c r="N50" s="257">
        <f>'[3]4.Služby občanov'!$AG$29</f>
        <v>0</v>
      </c>
      <c r="O50" s="342">
        <f>'[3]4.Služby občanov'!$AH$29</f>
        <v>0</v>
      </c>
      <c r="P50" s="538">
        <f>SUM(Q50:S50)</f>
        <v>0</v>
      </c>
      <c r="Q50" s="539">
        <f>'[3]4.Služby občanov'!$AI$29</f>
        <v>0</v>
      </c>
      <c r="R50" s="539">
        <f>'[3]4.Služby občanov'!$AJ$29</f>
        <v>0</v>
      </c>
      <c r="S50" s="540">
        <f>'[3]4.Služby občanov'!$AK$29</f>
        <v>0</v>
      </c>
    </row>
    <row r="51" spans="1:19" ht="16.5" outlineLevel="1" thickBot="1" x14ac:dyDescent="0.3">
      <c r="A51" s="125"/>
      <c r="B51" s="279" t="s">
        <v>208</v>
      </c>
      <c r="C51" s="272" t="s">
        <v>209</v>
      </c>
      <c r="D51" s="538">
        <f>SUM(E51:G51)</f>
        <v>0</v>
      </c>
      <c r="E51" s="542">
        <f>'[1]4.Služby občanov'!$AC$30</f>
        <v>0</v>
      </c>
      <c r="F51" s="542">
        <f>'[1]4.Služby občanov'!$AD$30</f>
        <v>0</v>
      </c>
      <c r="G51" s="543">
        <f>'[1]4.Služby občanov'!$AE$30</f>
        <v>0</v>
      </c>
      <c r="H51" s="538">
        <f>SUM(I51:K51)</f>
        <v>0</v>
      </c>
      <c r="I51" s="542">
        <f>'[2]4.Služby občanov'!$AF$31</f>
        <v>0</v>
      </c>
      <c r="J51" s="542">
        <f>'[2]4.Služby občanov'!$AG$31</f>
        <v>0</v>
      </c>
      <c r="K51" s="543">
        <f>'[2]4.Služby občanov'!$AH$31</f>
        <v>0</v>
      </c>
      <c r="L51" s="258">
        <f>SUM(M51:O51)</f>
        <v>0</v>
      </c>
      <c r="M51" s="266">
        <f>'[3]4.Služby občanov'!$AF$31</f>
        <v>0</v>
      </c>
      <c r="N51" s="266">
        <f>'[3]4.Služby občanov'!$AG$31</f>
        <v>0</v>
      </c>
      <c r="O51" s="620">
        <f>'[3]4.Služby občanov'!$AH$31</f>
        <v>0</v>
      </c>
      <c r="P51" s="538">
        <f>SUM(Q51:S51)</f>
        <v>0</v>
      </c>
      <c r="Q51" s="542">
        <f>'[3]4.Služby občanov'!$AI$31</f>
        <v>0</v>
      </c>
      <c r="R51" s="542">
        <f>'[3]4.Služby občanov'!$AJ$31</f>
        <v>0</v>
      </c>
      <c r="S51" s="543">
        <f>'[3]4.Služby občanov'!$AK$31</f>
        <v>0</v>
      </c>
    </row>
    <row r="52" spans="1:19" s="123" customFormat="1" ht="15.75" x14ac:dyDescent="0.25">
      <c r="A52" s="125"/>
      <c r="B52" s="273" t="s">
        <v>210</v>
      </c>
      <c r="C52" s="280"/>
      <c r="D52" s="535">
        <f t="shared" ref="D52:G52" si="56">D53+D58+D60+D59+D65</f>
        <v>1358306.0200000003</v>
      </c>
      <c r="E52" s="536">
        <f t="shared" si="56"/>
        <v>1226369.4100000001</v>
      </c>
      <c r="F52" s="536">
        <f t="shared" si="56"/>
        <v>131936.60999999999</v>
      </c>
      <c r="G52" s="537">
        <f t="shared" si="56"/>
        <v>0</v>
      </c>
      <c r="H52" s="535">
        <f t="shared" ref="H52:K52" si="57">H53+H58+H60+H59+H65</f>
        <v>1341114.44</v>
      </c>
      <c r="I52" s="536">
        <f t="shared" si="57"/>
        <v>1226114.44</v>
      </c>
      <c r="J52" s="536">
        <f t="shared" si="57"/>
        <v>115000</v>
      </c>
      <c r="K52" s="537">
        <f t="shared" si="57"/>
        <v>0</v>
      </c>
      <c r="L52" s="263">
        <f t="shared" ref="L52:O52" si="58">L53+L58+L60+L59+L65</f>
        <v>1548342</v>
      </c>
      <c r="M52" s="264">
        <f t="shared" si="58"/>
        <v>1349342</v>
      </c>
      <c r="N52" s="264">
        <f t="shared" si="58"/>
        <v>195000</v>
      </c>
      <c r="O52" s="341">
        <f t="shared" si="58"/>
        <v>4000</v>
      </c>
      <c r="P52" s="535">
        <f t="shared" ref="P52:S52" si="59">P53+P58+P60+P59+P65</f>
        <v>1453248.4800000002</v>
      </c>
      <c r="Q52" s="536">
        <f t="shared" si="59"/>
        <v>1261211.94</v>
      </c>
      <c r="R52" s="536">
        <f t="shared" si="59"/>
        <v>192036.53999999998</v>
      </c>
      <c r="S52" s="537">
        <f t="shared" si="59"/>
        <v>0</v>
      </c>
    </row>
    <row r="53" spans="1:19" ht="15.75" x14ac:dyDescent="0.25">
      <c r="A53" s="125"/>
      <c r="B53" s="281" t="s">
        <v>211</v>
      </c>
      <c r="C53" s="270" t="s">
        <v>212</v>
      </c>
      <c r="D53" s="538">
        <f t="shared" ref="D53:G53" si="60">SUM(D54:D57)</f>
        <v>999946.14</v>
      </c>
      <c r="E53" s="539">
        <f t="shared" si="60"/>
        <v>983009.53</v>
      </c>
      <c r="F53" s="539">
        <f t="shared" si="60"/>
        <v>16936.61</v>
      </c>
      <c r="G53" s="540">
        <f t="shared" si="60"/>
        <v>0</v>
      </c>
      <c r="H53" s="538">
        <f t="shared" ref="H53:K53" si="61">SUM(H54:H57)</f>
        <v>980709.42999999993</v>
      </c>
      <c r="I53" s="539">
        <f t="shared" si="61"/>
        <v>980709.42999999993</v>
      </c>
      <c r="J53" s="539">
        <f t="shared" si="61"/>
        <v>0</v>
      </c>
      <c r="K53" s="540">
        <f t="shared" si="61"/>
        <v>0</v>
      </c>
      <c r="L53" s="258">
        <f t="shared" ref="L53:O53" si="62">SUM(L54:L57)</f>
        <v>1164422</v>
      </c>
      <c r="M53" s="257">
        <f t="shared" si="62"/>
        <v>1080422</v>
      </c>
      <c r="N53" s="257">
        <f t="shared" si="62"/>
        <v>80000</v>
      </c>
      <c r="O53" s="342">
        <f t="shared" si="62"/>
        <v>4000</v>
      </c>
      <c r="P53" s="538">
        <f t="shared" ref="P53:S53" si="63">SUM(P54:P57)</f>
        <v>1087092.5200000003</v>
      </c>
      <c r="Q53" s="539">
        <f t="shared" si="63"/>
        <v>1010055.9800000001</v>
      </c>
      <c r="R53" s="539">
        <f t="shared" si="63"/>
        <v>77036.539999999994</v>
      </c>
      <c r="S53" s="540">
        <f t="shared" si="63"/>
        <v>0</v>
      </c>
    </row>
    <row r="54" spans="1:19" ht="15.75" x14ac:dyDescent="0.25">
      <c r="A54" s="125"/>
      <c r="B54" s="269">
        <v>1</v>
      </c>
      <c r="C54" s="270" t="s">
        <v>213</v>
      </c>
      <c r="D54" s="538">
        <f t="shared" ref="D54:D59" si="64">SUM(E54:G54)</f>
        <v>690879.44000000006</v>
      </c>
      <c r="E54" s="539">
        <f>'[1]5.Bezpečnosť, právo a por.'!$AC$5</f>
        <v>673942.83000000007</v>
      </c>
      <c r="F54" s="539">
        <f>'[1]5.Bezpečnosť, právo a por.'!$AD$5</f>
        <v>16936.61</v>
      </c>
      <c r="G54" s="540">
        <f>'[1]5.Bezpečnosť, právo a por.'!$AE$5</f>
        <v>0</v>
      </c>
      <c r="H54" s="538">
        <f t="shared" ref="H54:H59" si="65">SUM(I54:K54)</f>
        <v>660092.69999999995</v>
      </c>
      <c r="I54" s="539">
        <f>'[2]5.Bezpečnosť, právo a por.'!$AF$5</f>
        <v>660092.69999999995</v>
      </c>
      <c r="J54" s="539">
        <f>'[2]5.Bezpečnosť, právo a por.'!$AG$5</f>
        <v>0</v>
      </c>
      <c r="K54" s="540">
        <f>'[2]5.Bezpečnosť, právo a por.'!$AH$5</f>
        <v>0</v>
      </c>
      <c r="L54" s="258">
        <f t="shared" ref="L54:L59" si="66">SUM(M54:O54)</f>
        <v>796514</v>
      </c>
      <c r="M54" s="257">
        <f>'[3]5.Bezpečnosť, právo a por.'!$AF$5</f>
        <v>712514</v>
      </c>
      <c r="N54" s="257">
        <f>'[3]5.Bezpečnosť, právo a por.'!$AG$5</f>
        <v>80000</v>
      </c>
      <c r="O54" s="342">
        <f>'[3]5.Bezpečnosť, právo a por.'!$AH$5</f>
        <v>4000</v>
      </c>
      <c r="P54" s="538">
        <f t="shared" ref="P54:P59" si="67">SUM(Q54:S54)</f>
        <v>752728.04000000015</v>
      </c>
      <c r="Q54" s="539">
        <f>'[3]5.Bezpečnosť, právo a por.'!$AI$5</f>
        <v>675691.50000000012</v>
      </c>
      <c r="R54" s="539">
        <f>'[3]5.Bezpečnosť, právo a por.'!$AJ$5</f>
        <v>77036.539999999994</v>
      </c>
      <c r="S54" s="540">
        <f>'[3]5.Bezpečnosť, právo a por.'!$AK$5</f>
        <v>0</v>
      </c>
    </row>
    <row r="55" spans="1:19" ht="15.75" x14ac:dyDescent="0.25">
      <c r="B55" s="269">
        <v>2</v>
      </c>
      <c r="C55" s="270" t="s">
        <v>214</v>
      </c>
      <c r="D55" s="538">
        <f t="shared" si="64"/>
        <v>159812.94999999998</v>
      </c>
      <c r="E55" s="539">
        <f>'[1]5.Bezpečnosť, právo a por.'!$AC$60</f>
        <v>159812.94999999998</v>
      </c>
      <c r="F55" s="539">
        <f>'[1]5.Bezpečnosť, právo a por.'!$AD$60</f>
        <v>0</v>
      </c>
      <c r="G55" s="540">
        <f>'[1]5.Bezpečnosť, právo a por.'!$AE$60</f>
        <v>0</v>
      </c>
      <c r="H55" s="538">
        <f t="shared" si="65"/>
        <v>170636.23999999996</v>
      </c>
      <c r="I55" s="539">
        <f>'[2]5.Bezpečnosť, právo a por.'!$AF$60</f>
        <v>170636.23999999996</v>
      </c>
      <c r="J55" s="539">
        <f>'[2]5.Bezpečnosť, právo a por.'!$AG$60</f>
        <v>0</v>
      </c>
      <c r="K55" s="540">
        <f>'[2]5.Bezpečnosť, právo a por.'!$AH$60</f>
        <v>0</v>
      </c>
      <c r="L55" s="258">
        <f t="shared" si="66"/>
        <v>202208</v>
      </c>
      <c r="M55" s="257">
        <f>'[3]5.Bezpečnosť, právo a por.'!$AF$61</f>
        <v>202208</v>
      </c>
      <c r="N55" s="257">
        <f>'[3]5.Bezpečnosť, právo a por.'!$AG$61</f>
        <v>0</v>
      </c>
      <c r="O55" s="342">
        <f>'[3]5.Bezpečnosť, právo a por.'!$AH$61</f>
        <v>0</v>
      </c>
      <c r="P55" s="538">
        <f t="shared" si="67"/>
        <v>175958.87</v>
      </c>
      <c r="Q55" s="539">
        <f>'[3]5.Bezpečnosť, právo a por.'!$AI$61</f>
        <v>175958.87</v>
      </c>
      <c r="R55" s="539">
        <f>'[3]5.Bezpečnosť, právo a por.'!$AJ$61</f>
        <v>0</v>
      </c>
      <c r="S55" s="540">
        <f>'[3]5.Bezpečnosť, právo a por.'!$AK$61</f>
        <v>0</v>
      </c>
    </row>
    <row r="56" spans="1:19" ht="15.75" x14ac:dyDescent="0.25">
      <c r="A56" s="124"/>
      <c r="B56" s="269">
        <v>3</v>
      </c>
      <c r="C56" s="270" t="s">
        <v>215</v>
      </c>
      <c r="D56" s="538">
        <f t="shared" si="64"/>
        <v>73279.289999999994</v>
      </c>
      <c r="E56" s="539">
        <f>'[1]5.Bezpečnosť, právo a por.'!$AC$83</f>
        <v>73279.289999999994</v>
      </c>
      <c r="F56" s="539">
        <f>'[1]5.Bezpečnosť, právo a por.'!$AD$83</f>
        <v>0</v>
      </c>
      <c r="G56" s="540">
        <f>'[1]5.Bezpečnosť, právo a por.'!$AE$83</f>
        <v>0</v>
      </c>
      <c r="H56" s="538">
        <f t="shared" si="65"/>
        <v>74013.739999999991</v>
      </c>
      <c r="I56" s="539">
        <f>'[2]5.Bezpečnosť, právo a por.'!$AF$83</f>
        <v>74013.739999999991</v>
      </c>
      <c r="J56" s="539">
        <f>'[2]5.Bezpečnosť, právo a por.'!$AG$83</f>
        <v>0</v>
      </c>
      <c r="K56" s="540">
        <f>'[2]5.Bezpečnosť, právo a por.'!$AH$83</f>
        <v>0</v>
      </c>
      <c r="L56" s="258">
        <f t="shared" si="66"/>
        <v>82000</v>
      </c>
      <c r="M56" s="257">
        <f>'[3]5.Bezpečnosť, právo a por.'!$AF$84</f>
        <v>82000</v>
      </c>
      <c r="N56" s="257">
        <f>'[3]5.Bezpečnosť, právo a por.'!$AG$84</f>
        <v>0</v>
      </c>
      <c r="O56" s="342">
        <f>'[3]5.Bezpečnosť, právo a por.'!$AH$84</f>
        <v>0</v>
      </c>
      <c r="P56" s="538">
        <f t="shared" si="67"/>
        <v>78209.259999999995</v>
      </c>
      <c r="Q56" s="539">
        <f>'[3]5.Bezpečnosť, právo a por.'!$AI$84</f>
        <v>78209.259999999995</v>
      </c>
      <c r="R56" s="539">
        <f>'[3]5.Bezpečnosť, právo a por.'!$AJ$84</f>
        <v>0</v>
      </c>
      <c r="S56" s="540">
        <f>'[3]5.Bezpečnosť, právo a por.'!$AK$84</f>
        <v>0</v>
      </c>
    </row>
    <row r="57" spans="1:19" ht="15.75" x14ac:dyDescent="0.25">
      <c r="A57" s="124"/>
      <c r="B57" s="269">
        <v>4</v>
      </c>
      <c r="C57" s="270" t="s">
        <v>216</v>
      </c>
      <c r="D57" s="538">
        <f t="shared" si="64"/>
        <v>75974.460000000006</v>
      </c>
      <c r="E57" s="539">
        <f>'[1]5.Bezpečnosť, právo a por.'!$AC$86</f>
        <v>75974.460000000006</v>
      </c>
      <c r="F57" s="539">
        <f>'[1]5.Bezpečnosť, právo a por.'!$AD$86</f>
        <v>0</v>
      </c>
      <c r="G57" s="540">
        <f>'[1]5.Bezpečnosť, právo a por.'!$AE$86</f>
        <v>0</v>
      </c>
      <c r="H57" s="538">
        <f t="shared" si="65"/>
        <v>75966.75</v>
      </c>
      <c r="I57" s="539">
        <f>'[2]5.Bezpečnosť, právo a por.'!$AF$86</f>
        <v>75966.75</v>
      </c>
      <c r="J57" s="539">
        <f>'[2]5.Bezpečnosť, právo a por.'!$AG$86</f>
        <v>0</v>
      </c>
      <c r="K57" s="540">
        <f>'[2]5.Bezpečnosť, právo a por.'!$AH$86</f>
        <v>0</v>
      </c>
      <c r="L57" s="258">
        <f t="shared" si="66"/>
        <v>83700</v>
      </c>
      <c r="M57" s="257">
        <f>'[3]5.Bezpečnosť, právo a por.'!$AF$87</f>
        <v>83700</v>
      </c>
      <c r="N57" s="257">
        <f>'[3]5.Bezpečnosť, právo a por.'!$AG$87</f>
        <v>0</v>
      </c>
      <c r="O57" s="342">
        <f>'[3]5.Bezpečnosť, právo a por.'!$AH$87</f>
        <v>0</v>
      </c>
      <c r="P57" s="538">
        <f t="shared" si="67"/>
        <v>80196.350000000006</v>
      </c>
      <c r="Q57" s="539">
        <f>'[3]5.Bezpečnosť, právo a por.'!$AI$87</f>
        <v>80196.350000000006</v>
      </c>
      <c r="R57" s="539">
        <f>'[3]5.Bezpečnosť, právo a por.'!$AJ$87</f>
        <v>0</v>
      </c>
      <c r="S57" s="540">
        <f>'[3]5.Bezpečnosť, právo a por.'!$AK$87</f>
        <v>0</v>
      </c>
    </row>
    <row r="58" spans="1:19" ht="15.75" x14ac:dyDescent="0.25">
      <c r="B58" s="281" t="s">
        <v>217</v>
      </c>
      <c r="C58" s="270" t="s">
        <v>218</v>
      </c>
      <c r="D58" s="538">
        <f t="shared" si="64"/>
        <v>0</v>
      </c>
      <c r="E58" s="539">
        <f>'[1]5.Bezpečnosť, právo a por.'!$AC$94</f>
        <v>0</v>
      </c>
      <c r="F58" s="539">
        <f>'[1]5.Bezpečnosť, právo a por.'!$AD$94</f>
        <v>0</v>
      </c>
      <c r="G58" s="540">
        <f>'[1]5.Bezpečnosť, právo a por.'!$AE$94</f>
        <v>0</v>
      </c>
      <c r="H58" s="538">
        <f t="shared" si="65"/>
        <v>0</v>
      </c>
      <c r="I58" s="539">
        <f>'[2]5.Bezpečnosť, právo a por.'!$AF$94</f>
        <v>0</v>
      </c>
      <c r="J58" s="539">
        <f>'[2]5.Bezpečnosť, právo a por.'!$AG$94</f>
        <v>0</v>
      </c>
      <c r="K58" s="540">
        <f>'[2]5.Bezpečnosť, právo a por.'!$AH$94</f>
        <v>0</v>
      </c>
      <c r="L58" s="258">
        <f t="shared" si="66"/>
        <v>0</v>
      </c>
      <c r="M58" s="257">
        <f>'[3]5.Bezpečnosť, právo a por.'!$AF$95</f>
        <v>0</v>
      </c>
      <c r="N58" s="257">
        <f>'[3]5.Bezpečnosť, právo a por.'!$AG$95</f>
        <v>0</v>
      </c>
      <c r="O58" s="342">
        <f>'[3]5.Bezpečnosť, právo a por.'!$AH$95</f>
        <v>0</v>
      </c>
      <c r="P58" s="538">
        <f t="shared" si="67"/>
        <v>0</v>
      </c>
      <c r="Q58" s="539">
        <f>'[3]5.Bezpečnosť, právo a por.'!$AI$95</f>
        <v>0</v>
      </c>
      <c r="R58" s="539">
        <f>'[3]5.Bezpečnosť, právo a por.'!$AJ$95</f>
        <v>0</v>
      </c>
      <c r="S58" s="540">
        <f>'[3]5.Bezpečnosť, právo a por.'!$AK$95</f>
        <v>0</v>
      </c>
    </row>
    <row r="59" spans="1:19" ht="15.75" x14ac:dyDescent="0.25">
      <c r="B59" s="281" t="s">
        <v>219</v>
      </c>
      <c r="C59" s="270" t="s">
        <v>220</v>
      </c>
      <c r="D59" s="538">
        <f t="shared" si="64"/>
        <v>5030.1099999999997</v>
      </c>
      <c r="E59" s="539">
        <f>'[1]5.Bezpečnosť, právo a por.'!$AC$96</f>
        <v>5030.1099999999997</v>
      </c>
      <c r="F59" s="539">
        <f>'[1]5.Bezpečnosť, právo a por.'!$AD$96</f>
        <v>0</v>
      </c>
      <c r="G59" s="540">
        <f>'[1]5.Bezpečnosť, právo a por.'!$AE$96</f>
        <v>0</v>
      </c>
      <c r="H59" s="538">
        <f t="shared" si="65"/>
        <v>4049.1500000000005</v>
      </c>
      <c r="I59" s="539">
        <f>'[2]5.Bezpečnosť, právo a por.'!$AF$96</f>
        <v>4049.1500000000005</v>
      </c>
      <c r="J59" s="539">
        <f>'[2]5.Bezpečnosť, právo a por.'!$AG$96</f>
        <v>0</v>
      </c>
      <c r="K59" s="540">
        <f>'[2]5.Bezpečnosť, právo a por.'!$AH$96</f>
        <v>0</v>
      </c>
      <c r="L59" s="258">
        <f t="shared" si="66"/>
        <v>6100</v>
      </c>
      <c r="M59" s="257">
        <f>'[3]5.Bezpečnosť, právo a por.'!$AF$97</f>
        <v>6100</v>
      </c>
      <c r="N59" s="257">
        <f>'[3]5.Bezpečnosť, právo a por.'!$AG$97</f>
        <v>0</v>
      </c>
      <c r="O59" s="342">
        <f>'[3]5.Bezpečnosť, právo a por.'!$AH$97</f>
        <v>0</v>
      </c>
      <c r="P59" s="538">
        <f t="shared" si="67"/>
        <v>5961.4100000000008</v>
      </c>
      <c r="Q59" s="539">
        <f>'[3]5.Bezpečnosť, právo a por.'!$AI$97</f>
        <v>5961.4100000000008</v>
      </c>
      <c r="R59" s="539">
        <f>'[3]5.Bezpečnosť, právo a por.'!$AJ$97</f>
        <v>0</v>
      </c>
      <c r="S59" s="540">
        <f>'[3]5.Bezpečnosť, právo a por.'!$AK$97</f>
        <v>0</v>
      </c>
    </row>
    <row r="60" spans="1:19" ht="15.75" x14ac:dyDescent="0.25">
      <c r="B60" s="281" t="s">
        <v>221</v>
      </c>
      <c r="C60" s="270" t="s">
        <v>222</v>
      </c>
      <c r="D60" s="538">
        <f t="shared" ref="D60:G60" si="68">SUM(D61:D64)</f>
        <v>344945.45</v>
      </c>
      <c r="E60" s="539">
        <f t="shared" si="68"/>
        <v>229945.45</v>
      </c>
      <c r="F60" s="539">
        <f t="shared" si="68"/>
        <v>115000</v>
      </c>
      <c r="G60" s="540">
        <f t="shared" si="68"/>
        <v>0</v>
      </c>
      <c r="H60" s="538">
        <f t="shared" ref="H60:K60" si="69">SUM(H61:H64)</f>
        <v>348352.86</v>
      </c>
      <c r="I60" s="539">
        <f t="shared" si="69"/>
        <v>233352.86</v>
      </c>
      <c r="J60" s="539">
        <f t="shared" si="69"/>
        <v>115000</v>
      </c>
      <c r="K60" s="540">
        <f t="shared" si="69"/>
        <v>0</v>
      </c>
      <c r="L60" s="258">
        <f t="shared" ref="L60:O60" si="70">SUM(L61:L64)</f>
        <v>368520</v>
      </c>
      <c r="M60" s="257">
        <f t="shared" si="70"/>
        <v>253520</v>
      </c>
      <c r="N60" s="257">
        <f t="shared" si="70"/>
        <v>115000</v>
      </c>
      <c r="O60" s="342">
        <f t="shared" si="70"/>
        <v>0</v>
      </c>
      <c r="P60" s="538">
        <f t="shared" ref="P60:S60" si="71">SUM(P61:P64)</f>
        <v>352845.55</v>
      </c>
      <c r="Q60" s="539">
        <f t="shared" si="71"/>
        <v>237845.55</v>
      </c>
      <c r="R60" s="539">
        <f t="shared" si="71"/>
        <v>115000</v>
      </c>
      <c r="S60" s="540">
        <f t="shared" si="71"/>
        <v>0</v>
      </c>
    </row>
    <row r="61" spans="1:19" ht="15.75" x14ac:dyDescent="0.25">
      <c r="B61" s="269">
        <v>1</v>
      </c>
      <c r="C61" s="270" t="s">
        <v>223</v>
      </c>
      <c r="D61" s="538">
        <f>SUM(E61:G61)</f>
        <v>115000</v>
      </c>
      <c r="E61" s="539">
        <f>'[1]5.Bezpečnosť, právo a por.'!$AC$114</f>
        <v>0</v>
      </c>
      <c r="F61" s="539">
        <f>'[1]5.Bezpečnosť, právo a por.'!$AD$114</f>
        <v>115000</v>
      </c>
      <c r="G61" s="540">
        <f>'[1]5.Bezpečnosť, právo a por.'!$AE$114</f>
        <v>0</v>
      </c>
      <c r="H61" s="538">
        <f>SUM(I61:K61)</f>
        <v>115000</v>
      </c>
      <c r="I61" s="539">
        <f>'[2]5.Bezpečnosť, právo a por.'!$AF$114</f>
        <v>0</v>
      </c>
      <c r="J61" s="539">
        <f>'[2]5.Bezpečnosť, právo a por.'!$AG$114</f>
        <v>115000</v>
      </c>
      <c r="K61" s="540">
        <f>'[2]5.Bezpečnosť, právo a por.'!$AH$114</f>
        <v>0</v>
      </c>
      <c r="L61" s="258">
        <f>SUM(M61:O61)</f>
        <v>115000</v>
      </c>
      <c r="M61" s="257">
        <f>'[3]5.Bezpečnosť, právo a por.'!$AF$115</f>
        <v>0</v>
      </c>
      <c r="N61" s="257">
        <f>'[3]5.Bezpečnosť, právo a por.'!$AG$115</f>
        <v>115000</v>
      </c>
      <c r="O61" s="342">
        <f>'[3]5.Bezpečnosť, právo a por.'!$AH$115</f>
        <v>0</v>
      </c>
      <c r="P61" s="538">
        <f>SUM(Q61:S61)</f>
        <v>115000</v>
      </c>
      <c r="Q61" s="539">
        <f>'[3]5.Bezpečnosť, právo a por.'!$AI$115</f>
        <v>0</v>
      </c>
      <c r="R61" s="539">
        <f>'[3]5.Bezpečnosť, právo a por.'!$AJ$115</f>
        <v>115000</v>
      </c>
      <c r="S61" s="540">
        <f>'[3]5.Bezpečnosť, právo a por.'!$AK$115</f>
        <v>0</v>
      </c>
    </row>
    <row r="62" spans="1:19" ht="15.75" x14ac:dyDescent="0.25">
      <c r="B62" s="269">
        <v>2</v>
      </c>
      <c r="C62" s="270" t="s">
        <v>224</v>
      </c>
      <c r="D62" s="538">
        <f>SUM(E62:G62)</f>
        <v>93302.27</v>
      </c>
      <c r="E62" s="539">
        <f>'[1]5.Bezpečnosť, právo a por.'!$AC$121</f>
        <v>93302.27</v>
      </c>
      <c r="F62" s="539">
        <f>'[1]5.Bezpečnosť, právo a por.'!$AD$121</f>
        <v>0</v>
      </c>
      <c r="G62" s="540">
        <f>'[1]5.Bezpečnosť, právo a por.'!$AE$121</f>
        <v>0</v>
      </c>
      <c r="H62" s="538">
        <f>SUM(I62:K62)</f>
        <v>125766.99</v>
      </c>
      <c r="I62" s="539">
        <f>'[2]5.Bezpečnosť, právo a por.'!$AF$121</f>
        <v>125766.99</v>
      </c>
      <c r="J62" s="539">
        <f>'[2]5.Bezpečnosť, právo a por.'!$AG$121</f>
        <v>0</v>
      </c>
      <c r="K62" s="540">
        <f>'[2]5.Bezpečnosť, právo a por.'!$AH$121</f>
        <v>0</v>
      </c>
      <c r="L62" s="258">
        <f>SUM(M62:O62)</f>
        <v>110120</v>
      </c>
      <c r="M62" s="257">
        <f>'[3]5.Bezpečnosť, právo a por.'!$AF$122</f>
        <v>110120</v>
      </c>
      <c r="N62" s="257">
        <f>'[3]5.Bezpečnosť, právo a por.'!$AG$122</f>
        <v>0</v>
      </c>
      <c r="O62" s="342">
        <f>'[3]5.Bezpečnosť, právo a por.'!$AH$122</f>
        <v>0</v>
      </c>
      <c r="P62" s="538">
        <f>SUM(Q62:S62)</f>
        <v>94492.67</v>
      </c>
      <c r="Q62" s="539">
        <f>'[3]5.Bezpečnosť, právo a por.'!$AI$122</f>
        <v>94492.67</v>
      </c>
      <c r="R62" s="539">
        <f>'[3]5.Bezpečnosť, právo a por.'!$AJ$122</f>
        <v>0</v>
      </c>
      <c r="S62" s="540">
        <f>'[3]5.Bezpečnosť, právo a por.'!$AK$122</f>
        <v>0</v>
      </c>
    </row>
    <row r="63" spans="1:19" ht="15.75" x14ac:dyDescent="0.25">
      <c r="B63" s="269">
        <v>3</v>
      </c>
      <c r="C63" s="270" t="s">
        <v>225</v>
      </c>
      <c r="D63" s="538">
        <f>SUM(E63:G63)</f>
        <v>136643.18</v>
      </c>
      <c r="E63" s="539">
        <f>'[1]5.Bezpečnosť, právo a por.'!$AC$124</f>
        <v>136643.18</v>
      </c>
      <c r="F63" s="539">
        <f>'[1]5.Bezpečnosť, právo a por.'!$AD$124</f>
        <v>0</v>
      </c>
      <c r="G63" s="540">
        <f>'[1]5.Bezpečnosť, právo a por.'!$AE$124</f>
        <v>0</v>
      </c>
      <c r="H63" s="538">
        <f>SUM(I63:K63)</f>
        <v>107585.87</v>
      </c>
      <c r="I63" s="539">
        <f>'[2]5.Bezpečnosť, právo a por.'!$AF$124</f>
        <v>107585.87</v>
      </c>
      <c r="J63" s="539">
        <f>'[2]5.Bezpečnosť, právo a por.'!$AG$124</f>
        <v>0</v>
      </c>
      <c r="K63" s="540">
        <f>'[2]5.Bezpečnosť, právo a por.'!$AH$124</f>
        <v>0</v>
      </c>
      <c r="L63" s="258">
        <f>SUM(M63:O63)</f>
        <v>143400</v>
      </c>
      <c r="M63" s="257">
        <f>'[3]5.Bezpečnosť, právo a por.'!$AF$125</f>
        <v>143400</v>
      </c>
      <c r="N63" s="257">
        <f>'[3]5.Bezpečnosť, právo a por.'!$AG$125</f>
        <v>0</v>
      </c>
      <c r="O63" s="342">
        <f>'[3]5.Bezpečnosť, právo a por.'!$AH$125</f>
        <v>0</v>
      </c>
      <c r="P63" s="538">
        <f>SUM(Q63:S63)</f>
        <v>143352.88</v>
      </c>
      <c r="Q63" s="539">
        <f>'[3]5.Bezpečnosť, právo a por.'!$AI$125</f>
        <v>143352.88</v>
      </c>
      <c r="R63" s="539">
        <f>'[3]5.Bezpečnosť, právo a por.'!$AJ$125</f>
        <v>0</v>
      </c>
      <c r="S63" s="540">
        <f>'[3]5.Bezpečnosť, právo a por.'!$AK$125</f>
        <v>0</v>
      </c>
    </row>
    <row r="64" spans="1:19" ht="15.75" x14ac:dyDescent="0.25">
      <c r="B64" s="269">
        <v>4</v>
      </c>
      <c r="C64" s="270" t="s">
        <v>226</v>
      </c>
      <c r="D64" s="538">
        <f>SUM(E64:G64)</f>
        <v>0</v>
      </c>
      <c r="E64" s="539">
        <f>'[1]5.Bezpečnosť, právo a por.'!$AC$127</f>
        <v>0</v>
      </c>
      <c r="F64" s="539">
        <f>'[1]5.Bezpečnosť, právo a por.'!$AD$127</f>
        <v>0</v>
      </c>
      <c r="G64" s="540">
        <f>'[1]5.Bezpečnosť, právo a por.'!$AE$127</f>
        <v>0</v>
      </c>
      <c r="H64" s="538">
        <f>SUM(I64:K64)</f>
        <v>0</v>
      </c>
      <c r="I64" s="539">
        <f>'[2]5.Bezpečnosť, právo a por.'!$AF$127</f>
        <v>0</v>
      </c>
      <c r="J64" s="539">
        <f>'[2]5.Bezpečnosť, právo a por.'!$AG$127</f>
        <v>0</v>
      </c>
      <c r="K64" s="540">
        <f>'[2]5.Bezpečnosť, právo a por.'!$AH$127</f>
        <v>0</v>
      </c>
      <c r="L64" s="258">
        <f>SUM(M64:O64)</f>
        <v>0</v>
      </c>
      <c r="M64" s="257">
        <f>'[3]5.Bezpečnosť, právo a por.'!$AF$128</f>
        <v>0</v>
      </c>
      <c r="N64" s="257">
        <f>'[3]5.Bezpečnosť, právo a por.'!$AG$128</f>
        <v>0</v>
      </c>
      <c r="O64" s="342">
        <f>'[3]5.Bezpečnosť, právo a por.'!$AH$128</f>
        <v>0</v>
      </c>
      <c r="P64" s="538">
        <f>SUM(Q64:S64)</f>
        <v>0</v>
      </c>
      <c r="Q64" s="539">
        <f>'[3]5.Bezpečnosť, právo a por.'!$AI$128</f>
        <v>0</v>
      </c>
      <c r="R64" s="539">
        <f>'[3]5.Bezpečnosť, právo a por.'!$AJ$128</f>
        <v>0</v>
      </c>
      <c r="S64" s="540">
        <f>'[3]5.Bezpečnosť, právo a por.'!$AK$128</f>
        <v>0</v>
      </c>
    </row>
    <row r="65" spans="1:19" ht="15.75" x14ac:dyDescent="0.25">
      <c r="A65" s="125"/>
      <c r="B65" s="281" t="s">
        <v>227</v>
      </c>
      <c r="C65" s="282" t="s">
        <v>228</v>
      </c>
      <c r="D65" s="538">
        <f t="shared" ref="D65:G65" si="72">SUM(D66:D67)</f>
        <v>8384.32</v>
      </c>
      <c r="E65" s="539">
        <f t="shared" si="72"/>
        <v>8384.32</v>
      </c>
      <c r="F65" s="539">
        <f t="shared" si="72"/>
        <v>0</v>
      </c>
      <c r="G65" s="540">
        <f t="shared" si="72"/>
        <v>0</v>
      </c>
      <c r="H65" s="538">
        <f t="shared" ref="H65:K65" si="73">SUM(H66:H67)</f>
        <v>8003</v>
      </c>
      <c r="I65" s="539">
        <f t="shared" si="73"/>
        <v>8003</v>
      </c>
      <c r="J65" s="539">
        <f t="shared" si="73"/>
        <v>0</v>
      </c>
      <c r="K65" s="540">
        <f t="shared" si="73"/>
        <v>0</v>
      </c>
      <c r="L65" s="258">
        <f t="shared" ref="L65:O65" si="74">SUM(L66:L67)</f>
        <v>9300</v>
      </c>
      <c r="M65" s="257">
        <f t="shared" si="74"/>
        <v>9300</v>
      </c>
      <c r="N65" s="257">
        <f t="shared" si="74"/>
        <v>0</v>
      </c>
      <c r="O65" s="342">
        <f t="shared" si="74"/>
        <v>0</v>
      </c>
      <c r="P65" s="538">
        <f t="shared" ref="P65:S65" si="75">SUM(P66:P67)</f>
        <v>7349</v>
      </c>
      <c r="Q65" s="539">
        <f t="shared" si="75"/>
        <v>7349</v>
      </c>
      <c r="R65" s="539">
        <f t="shared" si="75"/>
        <v>0</v>
      </c>
      <c r="S65" s="540">
        <f t="shared" si="75"/>
        <v>0</v>
      </c>
    </row>
    <row r="66" spans="1:19" ht="15.75" x14ac:dyDescent="0.25">
      <c r="A66" s="125"/>
      <c r="B66" s="269">
        <v>1</v>
      </c>
      <c r="C66" s="270" t="s">
        <v>229</v>
      </c>
      <c r="D66" s="538">
        <f>SUM(E66:G66)</f>
        <v>5384.32</v>
      </c>
      <c r="E66" s="539">
        <f>'[1]5.Bezpečnosť, právo a por.'!$AC$131</f>
        <v>5384.32</v>
      </c>
      <c r="F66" s="539">
        <f>'[1]5.Bezpečnosť, právo a por.'!$AD$131</f>
        <v>0</v>
      </c>
      <c r="G66" s="540">
        <f>'[1]5.Bezpečnosť, právo a por.'!$AE$131</f>
        <v>0</v>
      </c>
      <c r="H66" s="538">
        <f>SUM(I66:K66)</f>
        <v>5003</v>
      </c>
      <c r="I66" s="539">
        <f>'[2]5.Bezpečnosť, právo a por.'!$AF$131</f>
        <v>5003</v>
      </c>
      <c r="J66" s="539">
        <f>'[2]5.Bezpečnosť, právo a por.'!$AG$131</f>
        <v>0</v>
      </c>
      <c r="K66" s="540">
        <f>'[2]5.Bezpečnosť, právo a por.'!$AH$131</f>
        <v>0</v>
      </c>
      <c r="L66" s="258">
        <f>SUM(M66:O66)</f>
        <v>6300</v>
      </c>
      <c r="M66" s="257">
        <f>'[3]5.Bezpečnosť, právo a por.'!$AF$132</f>
        <v>6300</v>
      </c>
      <c r="N66" s="257">
        <f>'[3]5.Bezpečnosť, právo a por.'!$AG$132</f>
        <v>0</v>
      </c>
      <c r="O66" s="342">
        <f>'[3]5.Bezpečnosť, právo a por.'!$AH$132</f>
        <v>0</v>
      </c>
      <c r="P66" s="538">
        <f>SUM(Q66:S66)</f>
        <v>4349</v>
      </c>
      <c r="Q66" s="539">
        <f>'[3]5.Bezpečnosť, právo a por.'!$AI$132</f>
        <v>4349</v>
      </c>
      <c r="R66" s="539">
        <f>'[3]5.Bezpečnosť, právo a por.'!$AJ$132</f>
        <v>0</v>
      </c>
      <c r="S66" s="540">
        <f>'[3]5.Bezpečnosť, právo a por.'!$AK$132</f>
        <v>0</v>
      </c>
    </row>
    <row r="67" spans="1:19" ht="16.5" thickBot="1" x14ac:dyDescent="0.3">
      <c r="A67" s="125"/>
      <c r="B67" s="271">
        <v>2</v>
      </c>
      <c r="C67" s="348" t="s">
        <v>421</v>
      </c>
      <c r="D67" s="541">
        <f>SUM(E67:G67)</f>
        <v>3000</v>
      </c>
      <c r="E67" s="542">
        <f>'[1]5.Bezpečnosť, právo a por.'!$AC$133</f>
        <v>3000</v>
      </c>
      <c r="F67" s="542">
        <f>'[1]5.Bezpečnosť, právo a por.'!$AD$133</f>
        <v>0</v>
      </c>
      <c r="G67" s="543">
        <f>'[1]5.Bezpečnosť, právo a por.'!$AE$133</f>
        <v>0</v>
      </c>
      <c r="H67" s="541">
        <f>SUM(I67:K67)</f>
        <v>3000</v>
      </c>
      <c r="I67" s="542">
        <f>'[2]5.Bezpečnosť, právo a por.'!$AF$133</f>
        <v>3000</v>
      </c>
      <c r="J67" s="542">
        <f>'[2]5.Bezpečnosť, právo a por.'!$AG$133</f>
        <v>0</v>
      </c>
      <c r="K67" s="543">
        <f>'[2]5.Bezpečnosť, právo a por.'!$AH$133</f>
        <v>0</v>
      </c>
      <c r="L67" s="265">
        <f>SUM(M67:O67)</f>
        <v>3000</v>
      </c>
      <c r="M67" s="266">
        <f>'[3]5.Bezpečnosť, právo a por.'!$AF$134</f>
        <v>3000</v>
      </c>
      <c r="N67" s="266">
        <f>'[3]5.Bezpečnosť, právo a por.'!$AG$134</f>
        <v>0</v>
      </c>
      <c r="O67" s="620">
        <f>'[3]5.Bezpečnosť, právo a por.'!$AH$134</f>
        <v>0</v>
      </c>
      <c r="P67" s="541">
        <f>SUM(Q67:S67)</f>
        <v>3000</v>
      </c>
      <c r="Q67" s="542">
        <f>'[3]5.Bezpečnosť, právo a por.'!$AI$134</f>
        <v>3000</v>
      </c>
      <c r="R67" s="542">
        <f>'[3]5.Bezpečnosť, právo a por.'!$AJ$134</f>
        <v>0</v>
      </c>
      <c r="S67" s="543">
        <f>'[3]5.Bezpečnosť, právo a por.'!$AK$134</f>
        <v>0</v>
      </c>
    </row>
    <row r="68" spans="1:19" s="123" customFormat="1" ht="15.75" x14ac:dyDescent="0.25">
      <c r="A68" s="125"/>
      <c r="B68" s="273" t="s">
        <v>231</v>
      </c>
      <c r="C68" s="274"/>
      <c r="D68" s="535">
        <f t="shared" ref="D68:G68" si="76">D69+D72+D75</f>
        <v>1170213.18</v>
      </c>
      <c r="E68" s="536">
        <f t="shared" si="76"/>
        <v>1170213.18</v>
      </c>
      <c r="F68" s="536">
        <f t="shared" si="76"/>
        <v>0</v>
      </c>
      <c r="G68" s="537">
        <f t="shared" si="76"/>
        <v>0</v>
      </c>
      <c r="H68" s="535">
        <f t="shared" ref="H68:K68" si="77">H69+H72+H75</f>
        <v>938802.38</v>
      </c>
      <c r="I68" s="536">
        <f t="shared" si="77"/>
        <v>938802.38</v>
      </c>
      <c r="J68" s="536">
        <f t="shared" si="77"/>
        <v>0</v>
      </c>
      <c r="K68" s="537">
        <f t="shared" si="77"/>
        <v>0</v>
      </c>
      <c r="L68" s="263">
        <f t="shared" ref="L68:O68" si="78">L69+L72+L75</f>
        <v>1977218</v>
      </c>
      <c r="M68" s="264">
        <f t="shared" si="78"/>
        <v>1977218</v>
      </c>
      <c r="N68" s="264">
        <f t="shared" si="78"/>
        <v>0</v>
      </c>
      <c r="O68" s="341">
        <f t="shared" si="78"/>
        <v>0</v>
      </c>
      <c r="P68" s="535">
        <f t="shared" ref="P68:S68" si="79">P69+P72+P75</f>
        <v>1863786.1199999999</v>
      </c>
      <c r="Q68" s="536">
        <f t="shared" si="79"/>
        <v>1863786.1199999999</v>
      </c>
      <c r="R68" s="536">
        <f t="shared" si="79"/>
        <v>0</v>
      </c>
      <c r="S68" s="537">
        <f t="shared" si="79"/>
        <v>0</v>
      </c>
    </row>
    <row r="69" spans="1:19" ht="15.75" x14ac:dyDescent="0.25">
      <c r="A69" s="124"/>
      <c r="B69" s="281" t="s">
        <v>232</v>
      </c>
      <c r="C69" s="282" t="s">
        <v>233</v>
      </c>
      <c r="D69" s="538">
        <f t="shared" ref="D69:G69" si="80">SUM(D70:D71)</f>
        <v>990776.95999999985</v>
      </c>
      <c r="E69" s="539">
        <f t="shared" si="80"/>
        <v>990776.95999999985</v>
      </c>
      <c r="F69" s="539">
        <f t="shared" si="80"/>
        <v>0</v>
      </c>
      <c r="G69" s="540">
        <f t="shared" si="80"/>
        <v>0</v>
      </c>
      <c r="H69" s="538">
        <f t="shared" ref="H69:K69" si="81">SUM(H70:H71)</f>
        <v>747672.29</v>
      </c>
      <c r="I69" s="539">
        <f t="shared" si="81"/>
        <v>747672.29</v>
      </c>
      <c r="J69" s="539">
        <f t="shared" si="81"/>
        <v>0</v>
      </c>
      <c r="K69" s="540">
        <f t="shared" si="81"/>
        <v>0</v>
      </c>
      <c r="L69" s="258">
        <f t="shared" ref="L69:O69" si="82">SUM(L70:L71)</f>
        <v>1770048</v>
      </c>
      <c r="M69" s="257">
        <f t="shared" si="82"/>
        <v>1770048</v>
      </c>
      <c r="N69" s="257">
        <f t="shared" si="82"/>
        <v>0</v>
      </c>
      <c r="O69" s="342">
        <f t="shared" si="82"/>
        <v>0</v>
      </c>
      <c r="P69" s="538">
        <f t="shared" ref="P69:S69" si="83">SUM(P70:P71)</f>
        <v>1663521.63</v>
      </c>
      <c r="Q69" s="539">
        <f t="shared" si="83"/>
        <v>1663521.63</v>
      </c>
      <c r="R69" s="539">
        <f t="shared" si="83"/>
        <v>0</v>
      </c>
      <c r="S69" s="540">
        <f t="shared" si="83"/>
        <v>0</v>
      </c>
    </row>
    <row r="70" spans="1:19" ht="15.75" x14ac:dyDescent="0.25">
      <c r="B70" s="269">
        <v>1</v>
      </c>
      <c r="C70" s="282" t="s">
        <v>234</v>
      </c>
      <c r="D70" s="538">
        <f>SUM(E70:G70)</f>
        <v>7205.88</v>
      </c>
      <c r="E70" s="539">
        <f>'[1]6.Odpadové hospodárstvo'!$AC$5</f>
        <v>7205.88</v>
      </c>
      <c r="F70" s="539">
        <f>'[1]6.Odpadové hospodárstvo'!$AD$5</f>
        <v>0</v>
      </c>
      <c r="G70" s="540">
        <f>'[1]6.Odpadové hospodárstvo'!$AE$5</f>
        <v>0</v>
      </c>
      <c r="H70" s="538">
        <f>SUM(I70:K70)</f>
        <v>2597.31</v>
      </c>
      <c r="I70" s="539">
        <f>'[2]6.Odpadové hospodárstvo'!$AF$5</f>
        <v>2597.31</v>
      </c>
      <c r="J70" s="539">
        <f>'[2]6.Odpadové hospodárstvo'!$AG$5</f>
        <v>0</v>
      </c>
      <c r="K70" s="540">
        <f>'[2]6.Odpadové hospodárstvo'!$AH$5</f>
        <v>0</v>
      </c>
      <c r="L70" s="258">
        <f>SUM(M70:O70)</f>
        <v>9750</v>
      </c>
      <c r="M70" s="257">
        <f>'[3]6.Odpadové hospodárstvo'!$AF$5</f>
        <v>9750</v>
      </c>
      <c r="N70" s="257">
        <f>'[3]6.Odpadové hospodárstvo'!$AG$5</f>
        <v>0</v>
      </c>
      <c r="O70" s="342">
        <f>'[3]6.Odpadové hospodárstvo'!$AH$5</f>
        <v>0</v>
      </c>
      <c r="P70" s="538">
        <f>SUM(Q70:S70)</f>
        <v>5065.4799999999996</v>
      </c>
      <c r="Q70" s="539">
        <f>'[3]6.Odpadové hospodárstvo'!$AI$5</f>
        <v>5065.4799999999996</v>
      </c>
      <c r="R70" s="539">
        <f>'[3]6.Odpadové hospodárstvo'!$AJ$5</f>
        <v>0</v>
      </c>
      <c r="S70" s="540">
        <f>'[3]6.Odpadové hospodárstvo'!$AK$5</f>
        <v>0</v>
      </c>
    </row>
    <row r="71" spans="1:19" ht="15.75" x14ac:dyDescent="0.25">
      <c r="B71" s="269">
        <v>2</v>
      </c>
      <c r="C71" s="270" t="s">
        <v>235</v>
      </c>
      <c r="D71" s="538">
        <f>SUM(E71:G71)</f>
        <v>983571.07999999984</v>
      </c>
      <c r="E71" s="539">
        <f>'[1]6.Odpadové hospodárstvo'!$AC$10</f>
        <v>983571.07999999984</v>
      </c>
      <c r="F71" s="539">
        <f>'[1]6.Odpadové hospodárstvo'!$AD$10</f>
        <v>0</v>
      </c>
      <c r="G71" s="540">
        <f>'[1]6.Odpadové hospodárstvo'!$AE$10</f>
        <v>0</v>
      </c>
      <c r="H71" s="538">
        <f>SUM(I71:K71)</f>
        <v>745074.98</v>
      </c>
      <c r="I71" s="539">
        <f>'[2]6.Odpadové hospodárstvo'!$AF$10</f>
        <v>745074.98</v>
      </c>
      <c r="J71" s="539">
        <f>'[2]6.Odpadové hospodárstvo'!$AG$10</f>
        <v>0</v>
      </c>
      <c r="K71" s="540">
        <f>'[2]6.Odpadové hospodárstvo'!$AH$10</f>
        <v>0</v>
      </c>
      <c r="L71" s="258">
        <f>SUM(M71:O71)</f>
        <v>1760298</v>
      </c>
      <c r="M71" s="257">
        <f>'[3]6.Odpadové hospodárstvo'!$AF$10</f>
        <v>1760298</v>
      </c>
      <c r="N71" s="257">
        <f>'[3]6.Odpadové hospodárstvo'!$AG$10</f>
        <v>0</v>
      </c>
      <c r="O71" s="342">
        <f>'[3]6.Odpadové hospodárstvo'!$AH$10</f>
        <v>0</v>
      </c>
      <c r="P71" s="538">
        <f>SUM(Q71:S71)</f>
        <v>1658456.15</v>
      </c>
      <c r="Q71" s="539">
        <f>'[3]6.Odpadové hospodárstvo'!$AI$10</f>
        <v>1658456.15</v>
      </c>
      <c r="R71" s="539">
        <f>'[3]6.Odpadové hospodárstvo'!$AJ$10</f>
        <v>0</v>
      </c>
      <c r="S71" s="540">
        <f>'[3]6.Odpadové hospodárstvo'!$AK$10</f>
        <v>0</v>
      </c>
    </row>
    <row r="72" spans="1:19" ht="15.75" x14ac:dyDescent="0.25">
      <c r="B72" s="281" t="s">
        <v>236</v>
      </c>
      <c r="C72" s="270" t="s">
        <v>237</v>
      </c>
      <c r="D72" s="538">
        <f t="shared" ref="D72:G72" si="84">SUM(D73:D74)</f>
        <v>0</v>
      </c>
      <c r="E72" s="539">
        <f t="shared" si="84"/>
        <v>0</v>
      </c>
      <c r="F72" s="539">
        <f t="shared" si="84"/>
        <v>0</v>
      </c>
      <c r="G72" s="540">
        <f t="shared" si="84"/>
        <v>0</v>
      </c>
      <c r="H72" s="538">
        <f t="shared" ref="H72:K72" si="85">SUM(H73:H74)</f>
        <v>0</v>
      </c>
      <c r="I72" s="539">
        <f t="shared" si="85"/>
        <v>0</v>
      </c>
      <c r="J72" s="539">
        <f t="shared" si="85"/>
        <v>0</v>
      </c>
      <c r="K72" s="540">
        <f t="shared" si="85"/>
        <v>0</v>
      </c>
      <c r="L72" s="258">
        <f t="shared" ref="L72:O72" si="86">SUM(L73:L74)</f>
        <v>0</v>
      </c>
      <c r="M72" s="257">
        <f t="shared" si="86"/>
        <v>0</v>
      </c>
      <c r="N72" s="257">
        <f t="shared" si="86"/>
        <v>0</v>
      </c>
      <c r="O72" s="342">
        <f t="shared" si="86"/>
        <v>0</v>
      </c>
      <c r="P72" s="538">
        <f t="shared" ref="P72:S72" si="87">SUM(P73:P74)</f>
        <v>0</v>
      </c>
      <c r="Q72" s="539">
        <f t="shared" si="87"/>
        <v>0</v>
      </c>
      <c r="R72" s="539">
        <f t="shared" si="87"/>
        <v>0</v>
      </c>
      <c r="S72" s="540">
        <f t="shared" si="87"/>
        <v>0</v>
      </c>
    </row>
    <row r="73" spans="1:19" ht="15.75" x14ac:dyDescent="0.25">
      <c r="B73" s="269">
        <v>1</v>
      </c>
      <c r="C73" s="270" t="s">
        <v>238</v>
      </c>
      <c r="D73" s="538">
        <f>SUM(E73:G73)</f>
        <v>0</v>
      </c>
      <c r="E73" s="539">
        <f>'[1]6.Odpadové hospodárstvo'!$AC$26</f>
        <v>0</v>
      </c>
      <c r="F73" s="539">
        <f>'[1]6.Odpadové hospodárstvo'!$AD$26</f>
        <v>0</v>
      </c>
      <c r="G73" s="540">
        <f>'[1]6.Odpadové hospodárstvo'!$AE$26</f>
        <v>0</v>
      </c>
      <c r="H73" s="538">
        <f>SUM(I73:K73)</f>
        <v>0</v>
      </c>
      <c r="I73" s="539">
        <f>'[2]6.Odpadové hospodárstvo'!$AF$26</f>
        <v>0</v>
      </c>
      <c r="J73" s="539">
        <f>'[2]6.Odpadové hospodárstvo'!$AG$26</f>
        <v>0</v>
      </c>
      <c r="K73" s="540">
        <f>'[2]6.Odpadové hospodárstvo'!$AH$26</f>
        <v>0</v>
      </c>
      <c r="L73" s="258">
        <f>SUM(M73:O73)</f>
        <v>0</v>
      </c>
      <c r="M73" s="257">
        <f>'[3]6.Odpadové hospodárstvo'!$AF$26</f>
        <v>0</v>
      </c>
      <c r="N73" s="257">
        <f>'[3]6.Odpadové hospodárstvo'!$AG$26</f>
        <v>0</v>
      </c>
      <c r="O73" s="342">
        <f>'[3]6.Odpadové hospodárstvo'!$AH$26</f>
        <v>0</v>
      </c>
      <c r="P73" s="538">
        <f>SUM(Q73:S73)</f>
        <v>0</v>
      </c>
      <c r="Q73" s="539">
        <f>'[3]6.Odpadové hospodárstvo'!$AI$26</f>
        <v>0</v>
      </c>
      <c r="R73" s="539">
        <f>'[3]6.Odpadové hospodárstvo'!$AJ$26</f>
        <v>0</v>
      </c>
      <c r="S73" s="540">
        <f>'[3]6.Odpadové hospodárstvo'!$AK$26</f>
        <v>0</v>
      </c>
    </row>
    <row r="74" spans="1:19" ht="15.75" x14ac:dyDescent="0.25">
      <c r="B74" s="269">
        <v>2</v>
      </c>
      <c r="C74" s="282" t="s">
        <v>239</v>
      </c>
      <c r="D74" s="538">
        <f>SUM(E74:G74)</f>
        <v>0</v>
      </c>
      <c r="E74" s="539">
        <f>'[1]6.Odpadové hospodárstvo'!$AC$29</f>
        <v>0</v>
      </c>
      <c r="F74" s="539">
        <f>'[1]6.Odpadové hospodárstvo'!$AD$29</f>
        <v>0</v>
      </c>
      <c r="G74" s="540">
        <f>'[1]6.Odpadové hospodárstvo'!$AE$29</f>
        <v>0</v>
      </c>
      <c r="H74" s="538">
        <f>SUM(I74:K74)</f>
        <v>0</v>
      </c>
      <c r="I74" s="539">
        <f>'[2]6.Odpadové hospodárstvo'!$AF$29</f>
        <v>0</v>
      </c>
      <c r="J74" s="539">
        <f>'[2]6.Odpadové hospodárstvo'!$AG$29</f>
        <v>0</v>
      </c>
      <c r="K74" s="540">
        <f>'[2]6.Odpadové hospodárstvo'!$AH$29</f>
        <v>0</v>
      </c>
      <c r="L74" s="258">
        <f>SUM(M74:O74)</f>
        <v>0</v>
      </c>
      <c r="M74" s="257">
        <f>'[3]6.Odpadové hospodárstvo'!$AF$29</f>
        <v>0</v>
      </c>
      <c r="N74" s="257">
        <f>'[3]6.Odpadové hospodárstvo'!$AG$29</f>
        <v>0</v>
      </c>
      <c r="O74" s="342">
        <f>'[3]6.Odpadové hospodárstvo'!$AH$29</f>
        <v>0</v>
      </c>
      <c r="P74" s="538">
        <f>SUM(Q74:S74)</f>
        <v>0</v>
      </c>
      <c r="Q74" s="539">
        <f>'[3]6.Odpadové hospodárstvo'!$AI$29</f>
        <v>0</v>
      </c>
      <c r="R74" s="539">
        <f>'[3]6.Odpadové hospodárstvo'!$AJ$29</f>
        <v>0</v>
      </c>
      <c r="S74" s="540">
        <f>'[3]6.Odpadové hospodárstvo'!$AK$29</f>
        <v>0</v>
      </c>
    </row>
    <row r="75" spans="1:19" ht="16.5" thickBot="1" x14ac:dyDescent="0.3">
      <c r="B75" s="283" t="s">
        <v>240</v>
      </c>
      <c r="C75" s="284" t="s">
        <v>241</v>
      </c>
      <c r="D75" s="541">
        <f>SUM(E75:G75)</f>
        <v>179436.22</v>
      </c>
      <c r="E75" s="542">
        <f>'[1]6.Odpadové hospodárstvo'!$AC$31</f>
        <v>179436.22</v>
      </c>
      <c r="F75" s="542">
        <f>'[1]6.Odpadové hospodárstvo'!$AD$31</f>
        <v>0</v>
      </c>
      <c r="G75" s="543">
        <f>'[1]6.Odpadové hospodárstvo'!$AE$31</f>
        <v>0</v>
      </c>
      <c r="H75" s="541">
        <f>SUM(I75:K75)</f>
        <v>191130.09</v>
      </c>
      <c r="I75" s="542">
        <f>'[2]6.Odpadové hospodárstvo'!$AF$31</f>
        <v>191130.09</v>
      </c>
      <c r="J75" s="542">
        <f>'[2]6.Odpadové hospodárstvo'!$AG$31</f>
        <v>0</v>
      </c>
      <c r="K75" s="543">
        <f>'[2]6.Odpadové hospodárstvo'!$AH$31</f>
        <v>0</v>
      </c>
      <c r="L75" s="265">
        <f>SUM(M75:O75)</f>
        <v>207170</v>
      </c>
      <c r="M75" s="266">
        <f>'[3]6.Odpadové hospodárstvo'!$AF$31</f>
        <v>207170</v>
      </c>
      <c r="N75" s="266">
        <f>'[3]6.Odpadové hospodárstvo'!$AG$31</f>
        <v>0</v>
      </c>
      <c r="O75" s="620">
        <f>'[3]6.Odpadové hospodárstvo'!$AH$31</f>
        <v>0</v>
      </c>
      <c r="P75" s="541">
        <f>SUM(Q75:S75)</f>
        <v>200264.49</v>
      </c>
      <c r="Q75" s="542">
        <f>'[3]6.Odpadové hospodárstvo'!$AI$31</f>
        <v>200264.49</v>
      </c>
      <c r="R75" s="542">
        <f>'[3]6.Odpadové hospodárstvo'!$AJ$31</f>
        <v>0</v>
      </c>
      <c r="S75" s="543">
        <f>'[3]6.Odpadové hospodárstvo'!$AK$31</f>
        <v>0</v>
      </c>
    </row>
    <row r="76" spans="1:19" s="123" customFormat="1" ht="15.75" x14ac:dyDescent="0.25">
      <c r="B76" s="273" t="s">
        <v>242</v>
      </c>
      <c r="C76" s="274"/>
      <c r="D76" s="535">
        <f t="shared" ref="D76:G76" si="88">D77+D85+D88</f>
        <v>6812768.5099999998</v>
      </c>
      <c r="E76" s="536">
        <f t="shared" si="88"/>
        <v>475721.72000000003</v>
      </c>
      <c r="F76" s="536">
        <f t="shared" si="88"/>
        <v>6337046.79</v>
      </c>
      <c r="G76" s="537">
        <f t="shared" si="88"/>
        <v>0</v>
      </c>
      <c r="H76" s="535">
        <f t="shared" ref="H76:K76" si="89">H77+H85+H88</f>
        <v>733207.41999999993</v>
      </c>
      <c r="I76" s="536">
        <f t="shared" si="89"/>
        <v>498463.26000000007</v>
      </c>
      <c r="J76" s="536">
        <f t="shared" si="89"/>
        <v>234744.16</v>
      </c>
      <c r="K76" s="537">
        <f t="shared" si="89"/>
        <v>0</v>
      </c>
      <c r="L76" s="263">
        <f t="shared" ref="L76:O76" si="90">L77+L85+L88</f>
        <v>2699184.6</v>
      </c>
      <c r="M76" s="264">
        <f t="shared" si="90"/>
        <v>564146</v>
      </c>
      <c r="N76" s="264">
        <f t="shared" si="90"/>
        <v>2135038.6</v>
      </c>
      <c r="O76" s="341">
        <f t="shared" si="90"/>
        <v>0</v>
      </c>
      <c r="P76" s="535">
        <f t="shared" ref="P76:S76" si="91">P77+P85+P88</f>
        <v>2360153.65</v>
      </c>
      <c r="Q76" s="536">
        <f t="shared" si="91"/>
        <v>454554.13000000006</v>
      </c>
      <c r="R76" s="536">
        <f t="shared" si="91"/>
        <v>1905599.5199999998</v>
      </c>
      <c r="S76" s="537">
        <f t="shared" si="91"/>
        <v>0</v>
      </c>
    </row>
    <row r="77" spans="1:19" ht="15.75" x14ac:dyDescent="0.25">
      <c r="B77" s="281" t="s">
        <v>243</v>
      </c>
      <c r="C77" s="270" t="s">
        <v>244</v>
      </c>
      <c r="D77" s="538">
        <f t="shared" ref="D77:G77" si="92">SUM(D78:D84)</f>
        <v>718456.26</v>
      </c>
      <c r="E77" s="539">
        <f t="shared" si="92"/>
        <v>474797.72000000003</v>
      </c>
      <c r="F77" s="539">
        <f t="shared" si="92"/>
        <v>243658.53999999998</v>
      </c>
      <c r="G77" s="540">
        <f t="shared" si="92"/>
        <v>0</v>
      </c>
      <c r="H77" s="538">
        <f t="shared" ref="H77:K77" si="93">SUM(H78:H84)</f>
        <v>684244.16</v>
      </c>
      <c r="I77" s="539">
        <f t="shared" si="93"/>
        <v>457344.20000000007</v>
      </c>
      <c r="J77" s="539">
        <f t="shared" si="93"/>
        <v>226899.96</v>
      </c>
      <c r="K77" s="540">
        <f t="shared" si="93"/>
        <v>0</v>
      </c>
      <c r="L77" s="258">
        <f t="shared" ref="L77:O77" si="94">SUM(L78:L84)</f>
        <v>721146</v>
      </c>
      <c r="M77" s="257">
        <f t="shared" si="94"/>
        <v>494146</v>
      </c>
      <c r="N77" s="257">
        <f t="shared" si="94"/>
        <v>227000</v>
      </c>
      <c r="O77" s="342">
        <f t="shared" si="94"/>
        <v>0</v>
      </c>
      <c r="P77" s="538">
        <f t="shared" ref="P77:S77" si="95">SUM(P78:P84)</f>
        <v>644881.99</v>
      </c>
      <c r="Q77" s="539">
        <f t="shared" si="95"/>
        <v>417982.03</v>
      </c>
      <c r="R77" s="539">
        <f t="shared" si="95"/>
        <v>226899.96</v>
      </c>
      <c r="S77" s="540">
        <f t="shared" si="95"/>
        <v>0</v>
      </c>
    </row>
    <row r="78" spans="1:19" ht="15.75" x14ac:dyDescent="0.25">
      <c r="B78" s="269">
        <v>1</v>
      </c>
      <c r="C78" s="270" t="s">
        <v>245</v>
      </c>
      <c r="D78" s="538">
        <f>SUM(E78:G78)</f>
        <v>0</v>
      </c>
      <c r="E78" s="539">
        <f>'[1]7.Komunikácie'!$AC$5</f>
        <v>0</v>
      </c>
      <c r="F78" s="539">
        <f>'[1]7.Komunikácie'!$AD$5</f>
        <v>0</v>
      </c>
      <c r="G78" s="540">
        <f>'[1]7.Komunikácie'!$AE$5</f>
        <v>0</v>
      </c>
      <c r="H78" s="538">
        <f>SUM(I78:K78)</f>
        <v>0</v>
      </c>
      <c r="I78" s="539">
        <f>'[2]7.Komunikácie'!$AF$5</f>
        <v>0</v>
      </c>
      <c r="J78" s="539">
        <f>'[2]7.Komunikácie'!$AG$5</f>
        <v>0</v>
      </c>
      <c r="K78" s="540">
        <f>'[2]7.Komunikácie'!$AH$5</f>
        <v>0</v>
      </c>
      <c r="L78" s="258">
        <f>SUM(M78:O78)</f>
        <v>0</v>
      </c>
      <c r="M78" s="257">
        <f>'[3]7.Komunikácie'!$AF$5</f>
        <v>0</v>
      </c>
      <c r="N78" s="257">
        <f>'[3]7.Komunikácie'!$AG$5</f>
        <v>0</v>
      </c>
      <c r="O78" s="342">
        <f>'[3]7.Komunikácie'!$AH$5</f>
        <v>0</v>
      </c>
      <c r="P78" s="538">
        <f>SUM(Q78:S78)</f>
        <v>0</v>
      </c>
      <c r="Q78" s="539">
        <f>'[3]7.Komunikácie'!$AI$5</f>
        <v>0</v>
      </c>
      <c r="R78" s="539">
        <f>'[3]7.Komunikácie'!$AJ$5</f>
        <v>0</v>
      </c>
      <c r="S78" s="540">
        <f>'[3]7.Komunikácie'!$AK$5</f>
        <v>0</v>
      </c>
    </row>
    <row r="79" spans="1:19" ht="15.75" x14ac:dyDescent="0.25">
      <c r="B79" s="269">
        <v>2</v>
      </c>
      <c r="C79" s="270" t="s">
        <v>246</v>
      </c>
      <c r="D79" s="538">
        <f t="shared" ref="D79:D84" si="96">SUM(E79:G79)</f>
        <v>226899.96</v>
      </c>
      <c r="E79" s="539">
        <f>'[1]7.Komunikácie'!$AC$7</f>
        <v>0</v>
      </c>
      <c r="F79" s="539">
        <f>'[1]7.Komunikácie'!$AD$7</f>
        <v>226899.96</v>
      </c>
      <c r="G79" s="540">
        <f>'[1]7.Komunikácie'!$AE$7</f>
        <v>0</v>
      </c>
      <c r="H79" s="538">
        <f t="shared" ref="H79:H84" si="97">SUM(I79:K79)</f>
        <v>226899.96</v>
      </c>
      <c r="I79" s="539">
        <f>'[2]7.Komunikácie'!$AF$7</f>
        <v>0</v>
      </c>
      <c r="J79" s="539">
        <f>'[2]7.Komunikácie'!$AG$7</f>
        <v>226899.96</v>
      </c>
      <c r="K79" s="540">
        <f>'[2]7.Komunikácie'!$AH$7</f>
        <v>0</v>
      </c>
      <c r="L79" s="258">
        <f t="shared" ref="L79:L84" si="98">SUM(M79:O79)</f>
        <v>227000</v>
      </c>
      <c r="M79" s="257">
        <f>'[3]7.Komunikácie'!$AF$7</f>
        <v>0</v>
      </c>
      <c r="N79" s="257">
        <f>'[3]7.Komunikácie'!$AG$7</f>
        <v>227000</v>
      </c>
      <c r="O79" s="342">
        <f>'[3]7.Komunikácie'!$AH$7</f>
        <v>0</v>
      </c>
      <c r="P79" s="538">
        <f t="shared" ref="P79:P84" si="99">SUM(Q79:S79)</f>
        <v>226899.96</v>
      </c>
      <c r="Q79" s="539">
        <f>'[3]7.Komunikácie'!$AI$7</f>
        <v>0</v>
      </c>
      <c r="R79" s="539">
        <f>'[3]7.Komunikácie'!$AJ$7</f>
        <v>226899.96</v>
      </c>
      <c r="S79" s="540">
        <f>'[3]7.Komunikácie'!$AK$7</f>
        <v>0</v>
      </c>
    </row>
    <row r="80" spans="1:19" ht="15.75" x14ac:dyDescent="0.25">
      <c r="B80" s="269">
        <v>3</v>
      </c>
      <c r="C80" s="270" t="s">
        <v>247</v>
      </c>
      <c r="D80" s="538">
        <f t="shared" si="96"/>
        <v>72088.56</v>
      </c>
      <c r="E80" s="539">
        <f>'[1]7.Komunikácie'!$AC$15</f>
        <v>72088.56</v>
      </c>
      <c r="F80" s="539">
        <f>'[1]7.Komunikácie'!$AD$15</f>
        <v>0</v>
      </c>
      <c r="G80" s="540">
        <f>'[1]7.Komunikácie'!$AE$15</f>
        <v>0</v>
      </c>
      <c r="H80" s="538">
        <f t="shared" si="97"/>
        <v>80844.92</v>
      </c>
      <c r="I80" s="539">
        <f>'[2]7.Komunikácie'!$AF$15</f>
        <v>80844.92</v>
      </c>
      <c r="J80" s="539">
        <f>'[2]7.Komunikácie'!$AG$15</f>
        <v>0</v>
      </c>
      <c r="K80" s="540">
        <f>'[2]7.Komunikácie'!$AH$15</f>
        <v>0</v>
      </c>
      <c r="L80" s="258">
        <f t="shared" si="98"/>
        <v>85000</v>
      </c>
      <c r="M80" s="257">
        <f>'[3]7.Komunikácie'!$AF$15</f>
        <v>85000</v>
      </c>
      <c r="N80" s="257">
        <f>'[3]7.Komunikácie'!$AG$15</f>
        <v>0</v>
      </c>
      <c r="O80" s="342">
        <f>'[3]7.Komunikácie'!$AH$15</f>
        <v>0</v>
      </c>
      <c r="P80" s="538">
        <f t="shared" si="99"/>
        <v>81043.48</v>
      </c>
      <c r="Q80" s="539">
        <f>'[3]7.Komunikácie'!$AI$15</f>
        <v>81043.48</v>
      </c>
      <c r="R80" s="539">
        <f>'[3]7.Komunikácie'!$AJ$15</f>
        <v>0</v>
      </c>
      <c r="S80" s="540">
        <f>'[3]7.Komunikácie'!$AK$15</f>
        <v>0</v>
      </c>
    </row>
    <row r="81" spans="2:19" ht="15.75" x14ac:dyDescent="0.25">
      <c r="B81" s="269">
        <v>4</v>
      </c>
      <c r="C81" s="270" t="s">
        <v>248</v>
      </c>
      <c r="D81" s="538">
        <f t="shared" si="96"/>
        <v>300027.12</v>
      </c>
      <c r="E81" s="539">
        <f>'[1]7.Komunikácie'!$AC$17</f>
        <v>300027.12</v>
      </c>
      <c r="F81" s="539">
        <f>'[1]7.Komunikácie'!$AD$17</f>
        <v>0</v>
      </c>
      <c r="G81" s="540">
        <f>'[1]7.Komunikácie'!$AE$17</f>
        <v>0</v>
      </c>
      <c r="H81" s="538">
        <f t="shared" si="97"/>
        <v>292041.21000000002</v>
      </c>
      <c r="I81" s="539">
        <f>'[2]7.Komunikácie'!$AF$17</f>
        <v>292041.21000000002</v>
      </c>
      <c r="J81" s="539">
        <f>'[2]7.Komunikácie'!$AG$17</f>
        <v>0</v>
      </c>
      <c r="K81" s="540">
        <f>'[2]7.Komunikácie'!$AH$17</f>
        <v>0</v>
      </c>
      <c r="L81" s="258">
        <f t="shared" si="98"/>
        <v>290000</v>
      </c>
      <c r="M81" s="257">
        <f>'[3]7.Komunikácie'!$AF$17</f>
        <v>290000</v>
      </c>
      <c r="N81" s="257">
        <f>'[3]7.Komunikácie'!$AG$17</f>
        <v>0</v>
      </c>
      <c r="O81" s="342">
        <f>'[3]7.Komunikácie'!$AH$17</f>
        <v>0</v>
      </c>
      <c r="P81" s="538">
        <f t="shared" si="99"/>
        <v>252062.96</v>
      </c>
      <c r="Q81" s="539">
        <f>'[3]7.Komunikácie'!$AI$17</f>
        <v>252062.96</v>
      </c>
      <c r="R81" s="539">
        <f>'[3]7.Komunikácie'!$AJ$17</f>
        <v>0</v>
      </c>
      <c r="S81" s="540">
        <f>'[3]7.Komunikácie'!$AK$17</f>
        <v>0</v>
      </c>
    </row>
    <row r="82" spans="2:19" ht="15.75" x14ac:dyDescent="0.25">
      <c r="B82" s="269">
        <v>5</v>
      </c>
      <c r="C82" s="270" t="s">
        <v>249</v>
      </c>
      <c r="D82" s="538">
        <f t="shared" si="96"/>
        <v>85994.010000000009</v>
      </c>
      <c r="E82" s="539">
        <f>'[1]7.Komunikácie'!$AC$19</f>
        <v>85994.010000000009</v>
      </c>
      <c r="F82" s="539">
        <f>'[1]7.Komunikácie'!$AD$19</f>
        <v>0</v>
      </c>
      <c r="G82" s="540">
        <f>'[1]7.Komunikácie'!$AE$19</f>
        <v>0</v>
      </c>
      <c r="H82" s="538">
        <f t="shared" si="97"/>
        <v>69385.840000000011</v>
      </c>
      <c r="I82" s="539">
        <f>'[2]7.Komunikácie'!$AF$19</f>
        <v>69385.840000000011</v>
      </c>
      <c r="J82" s="539">
        <f>'[2]7.Komunikácie'!$AG$19</f>
        <v>0</v>
      </c>
      <c r="K82" s="540">
        <f>'[2]7.Komunikácie'!$AH$19</f>
        <v>0</v>
      </c>
      <c r="L82" s="258">
        <f t="shared" si="98"/>
        <v>81162</v>
      </c>
      <c r="M82" s="257">
        <f>'[3]7.Komunikácie'!$AF$19</f>
        <v>81162</v>
      </c>
      <c r="N82" s="257">
        <f>'[3]7.Komunikácie'!$AG$19</f>
        <v>0</v>
      </c>
      <c r="O82" s="342">
        <f>'[3]7.Komunikácie'!$AH$19</f>
        <v>0</v>
      </c>
      <c r="P82" s="538">
        <f t="shared" si="99"/>
        <v>78182.260000000009</v>
      </c>
      <c r="Q82" s="539">
        <f>'[3]7.Komunikácie'!$AI$19</f>
        <v>78182.260000000009</v>
      </c>
      <c r="R82" s="539">
        <f>'[3]7.Komunikácie'!$AJ$19</f>
        <v>0</v>
      </c>
      <c r="S82" s="540">
        <f>'[3]7.Komunikácie'!$AK$19</f>
        <v>0</v>
      </c>
    </row>
    <row r="83" spans="2:19" ht="15.75" x14ac:dyDescent="0.25">
      <c r="B83" s="269">
        <v>6</v>
      </c>
      <c r="C83" s="270" t="s">
        <v>250</v>
      </c>
      <c r="D83" s="538">
        <f t="shared" si="96"/>
        <v>10988</v>
      </c>
      <c r="E83" s="539">
        <f>'[1]7.Komunikácie'!$AC$26</f>
        <v>10988</v>
      </c>
      <c r="F83" s="539">
        <f>'[1]7.Komunikácie'!$AD$26</f>
        <v>0</v>
      </c>
      <c r="G83" s="540">
        <f>'[1]7.Komunikácie'!$AE$26</f>
        <v>0</v>
      </c>
      <c r="H83" s="538">
        <f t="shared" si="97"/>
        <v>12474.08</v>
      </c>
      <c r="I83" s="539">
        <f>'[2]7.Komunikácie'!$AF$26</f>
        <v>12474.08</v>
      </c>
      <c r="J83" s="539">
        <f>'[2]7.Komunikácie'!$AG$26</f>
        <v>0</v>
      </c>
      <c r="K83" s="540">
        <f>'[2]7.Komunikácie'!$AH$26</f>
        <v>0</v>
      </c>
      <c r="L83" s="258">
        <f t="shared" si="98"/>
        <v>27984</v>
      </c>
      <c r="M83" s="257">
        <f>'[3]7.Komunikácie'!$AF$26</f>
        <v>27984</v>
      </c>
      <c r="N83" s="257">
        <f>'[3]7.Komunikácie'!$AG$26</f>
        <v>0</v>
      </c>
      <c r="O83" s="342">
        <f>'[3]7.Komunikácie'!$AH$26</f>
        <v>0</v>
      </c>
      <c r="P83" s="538">
        <f t="shared" si="99"/>
        <v>0</v>
      </c>
      <c r="Q83" s="539">
        <f>'[3]7.Komunikácie'!$AI$26</f>
        <v>0</v>
      </c>
      <c r="R83" s="539">
        <f>'[3]7.Komunikácie'!$AJ$26</f>
        <v>0</v>
      </c>
      <c r="S83" s="540">
        <f>'[3]7.Komunikácie'!$AK$26</f>
        <v>0</v>
      </c>
    </row>
    <row r="84" spans="2:19" ht="15.75" x14ac:dyDescent="0.25">
      <c r="B84" s="269">
        <v>7</v>
      </c>
      <c r="C84" s="270" t="s">
        <v>251</v>
      </c>
      <c r="D84" s="538">
        <f t="shared" si="96"/>
        <v>22458.61</v>
      </c>
      <c r="E84" s="539">
        <f>'[1]7.Komunikácie'!$AC$28</f>
        <v>5700.03</v>
      </c>
      <c r="F84" s="539">
        <f>'[1]7.Komunikácie'!$AD$28</f>
        <v>16758.580000000002</v>
      </c>
      <c r="G84" s="540">
        <f>'[1]7.Komunikácie'!$AE$28</f>
        <v>0</v>
      </c>
      <c r="H84" s="538">
        <f t="shared" si="97"/>
        <v>2598.15</v>
      </c>
      <c r="I84" s="539">
        <f>'[2]7.Komunikácie'!$AF$28</f>
        <v>2598.15</v>
      </c>
      <c r="J84" s="539">
        <f>'[2]7.Komunikácie'!$AG$28</f>
        <v>0</v>
      </c>
      <c r="K84" s="540">
        <f>'[2]7.Komunikácie'!$AH$28</f>
        <v>0</v>
      </c>
      <c r="L84" s="258">
        <f t="shared" si="98"/>
        <v>10000</v>
      </c>
      <c r="M84" s="257">
        <f>'[3]7.Komunikácie'!$AF$28</f>
        <v>10000</v>
      </c>
      <c r="N84" s="257">
        <f>'[3]7.Komunikácie'!$AG$28</f>
        <v>0</v>
      </c>
      <c r="O84" s="342">
        <f>'[3]7.Komunikácie'!$AH$28</f>
        <v>0</v>
      </c>
      <c r="P84" s="538">
        <f t="shared" si="99"/>
        <v>6693.33</v>
      </c>
      <c r="Q84" s="539">
        <f>'[3]7.Komunikácie'!$AI$28</f>
        <v>6693.33</v>
      </c>
      <c r="R84" s="539">
        <f>'[3]7.Komunikácie'!$AJ$28</f>
        <v>0</v>
      </c>
      <c r="S84" s="540">
        <f>'[3]7.Komunikácie'!$AK$28</f>
        <v>0</v>
      </c>
    </row>
    <row r="85" spans="2:19" ht="15.75" x14ac:dyDescent="0.25">
      <c r="B85" s="281" t="s">
        <v>252</v>
      </c>
      <c r="C85" s="270" t="s">
        <v>253</v>
      </c>
      <c r="D85" s="538">
        <f t="shared" ref="D85:G85" si="100">SUM(D86:D87)</f>
        <v>0</v>
      </c>
      <c r="E85" s="539">
        <f t="shared" si="100"/>
        <v>0</v>
      </c>
      <c r="F85" s="539">
        <f t="shared" si="100"/>
        <v>0</v>
      </c>
      <c r="G85" s="540">
        <f t="shared" si="100"/>
        <v>0</v>
      </c>
      <c r="H85" s="538">
        <f t="shared" ref="H85:K85" si="101">SUM(H86:H87)</f>
        <v>36119.06</v>
      </c>
      <c r="I85" s="539">
        <f t="shared" si="101"/>
        <v>36119.06</v>
      </c>
      <c r="J85" s="539">
        <f t="shared" si="101"/>
        <v>0</v>
      </c>
      <c r="K85" s="540">
        <f t="shared" si="101"/>
        <v>0</v>
      </c>
      <c r="L85" s="258">
        <f t="shared" ref="L85:O85" si="102">SUM(L86:L87)</f>
        <v>1946985</v>
      </c>
      <c r="M85" s="257">
        <f t="shared" si="102"/>
        <v>51000</v>
      </c>
      <c r="N85" s="257">
        <f t="shared" si="102"/>
        <v>1895985</v>
      </c>
      <c r="O85" s="342">
        <f t="shared" si="102"/>
        <v>0</v>
      </c>
      <c r="P85" s="538">
        <f t="shared" ref="P85:S85" si="103">SUM(P86:P87)</f>
        <v>1687659.0799999998</v>
      </c>
      <c r="Q85" s="539">
        <f t="shared" si="103"/>
        <v>20959.400000000001</v>
      </c>
      <c r="R85" s="539">
        <f t="shared" si="103"/>
        <v>1666699.68</v>
      </c>
      <c r="S85" s="540">
        <f t="shared" si="103"/>
        <v>0</v>
      </c>
    </row>
    <row r="86" spans="2:19" ht="15.75" x14ac:dyDescent="0.25">
      <c r="B86" s="269">
        <v>1</v>
      </c>
      <c r="C86" s="270" t="s">
        <v>254</v>
      </c>
      <c r="D86" s="538">
        <f>SUM(E86:G86)</f>
        <v>0</v>
      </c>
      <c r="E86" s="539">
        <f>'[1]7.Komunikácie'!$AC$31</f>
        <v>0</v>
      </c>
      <c r="F86" s="539">
        <f>'[1]7.Komunikácie'!$AD$31</f>
        <v>0</v>
      </c>
      <c r="G86" s="540">
        <f>'[1]7.Komunikácie'!$AE$31</f>
        <v>0</v>
      </c>
      <c r="H86" s="538">
        <f>SUM(I86:K86)</f>
        <v>0</v>
      </c>
      <c r="I86" s="539">
        <f>'[2]7.Komunikácie'!$AF$31</f>
        <v>0</v>
      </c>
      <c r="J86" s="539">
        <f>'[2]7.Komunikácie'!$AG$31</f>
        <v>0</v>
      </c>
      <c r="K86" s="540">
        <f>'[2]7.Komunikácie'!$AH$31</f>
        <v>0</v>
      </c>
      <c r="L86" s="258">
        <f>SUM(M86:O86)</f>
        <v>0</v>
      </c>
      <c r="M86" s="257">
        <f>'[3]7.Komunikácie'!$AF$31</f>
        <v>0</v>
      </c>
      <c r="N86" s="257">
        <f>'[3]7.Komunikácie'!$AG$31</f>
        <v>0</v>
      </c>
      <c r="O86" s="342">
        <f>'[3]7.Komunikácie'!$AH$31</f>
        <v>0</v>
      </c>
      <c r="P86" s="538">
        <f>SUM(Q86:S86)</f>
        <v>0</v>
      </c>
      <c r="Q86" s="539">
        <f>'[3]7.Komunikácie'!$AI$31</f>
        <v>0</v>
      </c>
      <c r="R86" s="539">
        <f>'[3]7.Komunikácie'!$AJ$31</f>
        <v>0</v>
      </c>
      <c r="S86" s="540">
        <f>'[3]7.Komunikácie'!$AK$31</f>
        <v>0</v>
      </c>
    </row>
    <row r="87" spans="2:19" ht="15.75" x14ac:dyDescent="0.25">
      <c r="B87" s="269">
        <v>2</v>
      </c>
      <c r="C87" s="270" t="s">
        <v>255</v>
      </c>
      <c r="D87" s="538">
        <f>SUM(E87:G87)</f>
        <v>0</v>
      </c>
      <c r="E87" s="539">
        <f>'[1]7.Komunikácie'!$AC$33</f>
        <v>0</v>
      </c>
      <c r="F87" s="539">
        <f>'[1]7.Komunikácie'!$AD$33</f>
        <v>0</v>
      </c>
      <c r="G87" s="540">
        <f>'[1]7.Komunikácie'!$AE$33</f>
        <v>0</v>
      </c>
      <c r="H87" s="538">
        <f>SUM(I87:K87)</f>
        <v>36119.06</v>
      </c>
      <c r="I87" s="539">
        <f>'[2]7.Komunikácie'!$AF$33</f>
        <v>36119.06</v>
      </c>
      <c r="J87" s="539">
        <f>'[2]7.Komunikácie'!$AG$33</f>
        <v>0</v>
      </c>
      <c r="K87" s="540">
        <f>'[2]7.Komunikácie'!$AH$33</f>
        <v>0</v>
      </c>
      <c r="L87" s="258">
        <f>SUM(M87:O87)</f>
        <v>1946985</v>
      </c>
      <c r="M87" s="257">
        <f>'[3]7.Komunikácie'!$AF$33</f>
        <v>51000</v>
      </c>
      <c r="N87" s="257">
        <f>'[3]7.Komunikácie'!$AG$33</f>
        <v>1895985</v>
      </c>
      <c r="O87" s="342">
        <f>'[3]7.Komunikácie'!$AH$33</f>
        <v>0</v>
      </c>
      <c r="P87" s="538">
        <f>SUM(Q87:S87)</f>
        <v>1687659.0799999998</v>
      </c>
      <c r="Q87" s="539">
        <f>'[3]7.Komunikácie'!$AI$33</f>
        <v>20959.400000000001</v>
      </c>
      <c r="R87" s="539">
        <f>'[3]7.Komunikácie'!$AJ$33</f>
        <v>1666699.68</v>
      </c>
      <c r="S87" s="540">
        <f>'[3]7.Komunikácie'!$AK$33</f>
        <v>0</v>
      </c>
    </row>
    <row r="88" spans="2:19" ht="15.75" outlineLevel="1" x14ac:dyDescent="0.25">
      <c r="B88" s="281" t="s">
        <v>256</v>
      </c>
      <c r="C88" s="270" t="s">
        <v>257</v>
      </c>
      <c r="D88" s="538">
        <f t="shared" ref="D88:G88" si="104">SUM(D89:D90)</f>
        <v>6094312.25</v>
      </c>
      <c r="E88" s="539">
        <f t="shared" si="104"/>
        <v>924</v>
      </c>
      <c r="F88" s="539">
        <f t="shared" si="104"/>
        <v>6093388.25</v>
      </c>
      <c r="G88" s="540">
        <f t="shared" si="104"/>
        <v>0</v>
      </c>
      <c r="H88" s="538">
        <f t="shared" ref="H88:K88" si="105">SUM(H89:H90)</f>
        <v>12844.2</v>
      </c>
      <c r="I88" s="539">
        <f t="shared" si="105"/>
        <v>5000</v>
      </c>
      <c r="J88" s="539">
        <f t="shared" si="105"/>
        <v>7844.2</v>
      </c>
      <c r="K88" s="540">
        <f t="shared" si="105"/>
        <v>0</v>
      </c>
      <c r="L88" s="258">
        <f t="shared" ref="L88:O88" si="106">SUM(L89:L90)</f>
        <v>31053.599999999999</v>
      </c>
      <c r="M88" s="257">
        <f t="shared" si="106"/>
        <v>19000</v>
      </c>
      <c r="N88" s="257">
        <f t="shared" si="106"/>
        <v>12053.6</v>
      </c>
      <c r="O88" s="342">
        <f t="shared" si="106"/>
        <v>0</v>
      </c>
      <c r="P88" s="538">
        <f t="shared" ref="P88:S88" si="107">SUM(P89:P90)</f>
        <v>27612.58</v>
      </c>
      <c r="Q88" s="539">
        <f t="shared" si="107"/>
        <v>15612.7</v>
      </c>
      <c r="R88" s="539">
        <f t="shared" si="107"/>
        <v>11999.88</v>
      </c>
      <c r="S88" s="540">
        <f t="shared" si="107"/>
        <v>0</v>
      </c>
    </row>
    <row r="89" spans="2:19" ht="15.75" outlineLevel="1" x14ac:dyDescent="0.25">
      <c r="B89" s="269">
        <v>1</v>
      </c>
      <c r="C89" s="270" t="s">
        <v>258</v>
      </c>
      <c r="D89" s="538">
        <f>SUM(E89:G89)</f>
        <v>6094312.25</v>
      </c>
      <c r="E89" s="539">
        <f>'[1]7.Komunikácie'!$AC$36</f>
        <v>924</v>
      </c>
      <c r="F89" s="539">
        <f>'[1]7.Komunikácie'!$AD$36</f>
        <v>6093388.25</v>
      </c>
      <c r="G89" s="540">
        <f>'[1]7.Komunikácie'!$AE$36</f>
        <v>0</v>
      </c>
      <c r="H89" s="538">
        <f>SUM(I89:K89)</f>
        <v>12844.2</v>
      </c>
      <c r="I89" s="539">
        <f>'[2]7.Komunikácie'!$AF$36</f>
        <v>5000</v>
      </c>
      <c r="J89" s="539">
        <f>'[2]7.Komunikácie'!$AG$36</f>
        <v>7844.2</v>
      </c>
      <c r="K89" s="540">
        <f>'[2]7.Komunikácie'!$AH$36</f>
        <v>0</v>
      </c>
      <c r="L89" s="258">
        <f>SUM(M89:O89)</f>
        <v>31053.599999999999</v>
      </c>
      <c r="M89" s="257">
        <f>'[3]7.Komunikácie'!$AF$36</f>
        <v>19000</v>
      </c>
      <c r="N89" s="257">
        <f>'[3]7.Komunikácie'!$AG$36</f>
        <v>12053.6</v>
      </c>
      <c r="O89" s="342">
        <f>'[3]7.Komunikácie'!$AH$36</f>
        <v>0</v>
      </c>
      <c r="P89" s="538">
        <f>SUM(Q89:S89)</f>
        <v>27612.58</v>
      </c>
      <c r="Q89" s="539">
        <f>'[3]7.Komunikácie'!$AI$36</f>
        <v>15612.7</v>
      </c>
      <c r="R89" s="539">
        <f>'[3]7.Komunikácie'!$AJ$36</f>
        <v>11999.88</v>
      </c>
      <c r="S89" s="540">
        <f>'[3]7.Komunikácie'!$AK$36</f>
        <v>0</v>
      </c>
    </row>
    <row r="90" spans="2:19" ht="16.5" outlineLevel="1" thickBot="1" x14ac:dyDescent="0.3">
      <c r="B90" s="271">
        <v>2</v>
      </c>
      <c r="C90" s="272" t="s">
        <v>259</v>
      </c>
      <c r="D90" s="541">
        <f>SUM(E90:G90)</f>
        <v>0</v>
      </c>
      <c r="E90" s="542">
        <f>'[1]7.Komunikácie'!$AC$39</f>
        <v>0</v>
      </c>
      <c r="F90" s="542">
        <f>'[1]7.Komunikácie'!$AD$39</f>
        <v>0</v>
      </c>
      <c r="G90" s="543">
        <f>'[1]7.Komunikácie'!$AE$39</f>
        <v>0</v>
      </c>
      <c r="H90" s="541">
        <f>SUM(I90:K90)</f>
        <v>0</v>
      </c>
      <c r="I90" s="542">
        <f>'[2]7.Komunikácie'!$AF$39</f>
        <v>0</v>
      </c>
      <c r="J90" s="542">
        <f>'[2]7.Komunikácie'!$AG$39</f>
        <v>0</v>
      </c>
      <c r="K90" s="543">
        <f>'[2]7.Komunikácie'!$AH$39</f>
        <v>0</v>
      </c>
      <c r="L90" s="265">
        <f>SUM(M90:O90)</f>
        <v>0</v>
      </c>
      <c r="M90" s="266">
        <f>'[3]7.Komunikácie'!$AF$39</f>
        <v>0</v>
      </c>
      <c r="N90" s="266">
        <f>'[3]7.Komunikácie'!$AG$39</f>
        <v>0</v>
      </c>
      <c r="O90" s="620">
        <f>'[3]7.Komunikácie'!$AH$39</f>
        <v>0</v>
      </c>
      <c r="P90" s="541">
        <f>SUM(Q90:S90)</f>
        <v>0</v>
      </c>
      <c r="Q90" s="542">
        <f>'[3]7.Komunikácie'!$AI$39</f>
        <v>0</v>
      </c>
      <c r="R90" s="542">
        <f>'[3]7.Komunikácie'!$AJ$39</f>
        <v>0</v>
      </c>
      <c r="S90" s="543">
        <f>'[3]7.Komunikácie'!$AK$39</f>
        <v>0</v>
      </c>
    </row>
    <row r="91" spans="2:19" s="123" customFormat="1" ht="15.75" x14ac:dyDescent="0.25">
      <c r="B91" s="273" t="s">
        <v>260</v>
      </c>
      <c r="C91" s="274"/>
      <c r="D91" s="535">
        <f t="shared" ref="D91:G91" si="108">D92+D93</f>
        <v>200979.3</v>
      </c>
      <c r="E91" s="536">
        <f t="shared" si="108"/>
        <v>200979.3</v>
      </c>
      <c r="F91" s="536">
        <f t="shared" si="108"/>
        <v>0</v>
      </c>
      <c r="G91" s="537">
        <f t="shared" si="108"/>
        <v>0</v>
      </c>
      <c r="H91" s="535">
        <f t="shared" ref="H91:K91" si="109">H92+H93</f>
        <v>167129.76999999999</v>
      </c>
      <c r="I91" s="536">
        <f t="shared" si="109"/>
        <v>167129.76999999999</v>
      </c>
      <c r="J91" s="536">
        <f t="shared" si="109"/>
        <v>0</v>
      </c>
      <c r="K91" s="537">
        <f t="shared" si="109"/>
        <v>0</v>
      </c>
      <c r="L91" s="263">
        <f t="shared" ref="L91:O91" si="110">L92+L93</f>
        <v>195000</v>
      </c>
      <c r="M91" s="264">
        <f t="shared" si="110"/>
        <v>195000</v>
      </c>
      <c r="N91" s="264">
        <f t="shared" si="110"/>
        <v>0</v>
      </c>
      <c r="O91" s="341">
        <f t="shared" si="110"/>
        <v>0</v>
      </c>
      <c r="P91" s="535">
        <f t="shared" ref="P91:S91" si="111">P92+P93</f>
        <v>188464</v>
      </c>
      <c r="Q91" s="536">
        <f t="shared" si="111"/>
        <v>188464</v>
      </c>
      <c r="R91" s="536">
        <f t="shared" si="111"/>
        <v>0</v>
      </c>
      <c r="S91" s="537">
        <f t="shared" si="111"/>
        <v>0</v>
      </c>
    </row>
    <row r="92" spans="2:19" ht="15.75" x14ac:dyDescent="0.25">
      <c r="B92" s="281" t="s">
        <v>261</v>
      </c>
      <c r="C92" s="270" t="s">
        <v>262</v>
      </c>
      <c r="D92" s="538">
        <f>SUM(E92:G92)</f>
        <v>200979.3</v>
      </c>
      <c r="E92" s="539">
        <f>'[1]8.Doprava'!$AC$4</f>
        <v>200979.3</v>
      </c>
      <c r="F92" s="539">
        <f>'[1]8.Doprava'!$AD$4</f>
        <v>0</v>
      </c>
      <c r="G92" s="540">
        <f>'[1]8.Doprava'!$AE$4</f>
        <v>0</v>
      </c>
      <c r="H92" s="538">
        <f>SUM(I92:K92)</f>
        <v>166429.76999999999</v>
      </c>
      <c r="I92" s="539">
        <f>'[2]8.Doprava'!$AF$4</f>
        <v>166429.76999999999</v>
      </c>
      <c r="J92" s="539">
        <f>'[2]8.Doprava'!$AG$4</f>
        <v>0</v>
      </c>
      <c r="K92" s="540">
        <f>'[2]8.Doprava'!$AH$4</f>
        <v>0</v>
      </c>
      <c r="L92" s="258">
        <f>SUM(M92:O92)</f>
        <v>190000</v>
      </c>
      <c r="M92" s="257">
        <f>'[3]8.Doprava'!$AF$4</f>
        <v>190000</v>
      </c>
      <c r="N92" s="257">
        <f>'[3]8.Doprava'!$AG$4</f>
        <v>0</v>
      </c>
      <c r="O92" s="342">
        <f>'[3]8.Doprava'!$AH$4</f>
        <v>0</v>
      </c>
      <c r="P92" s="538">
        <f>SUM(Q92:S92)</f>
        <v>188464</v>
      </c>
      <c r="Q92" s="539">
        <f>'[3]8.Doprava'!$AI$4</f>
        <v>188464</v>
      </c>
      <c r="R92" s="539">
        <f>'[3]8.Doprava'!$AJ$4</f>
        <v>0</v>
      </c>
      <c r="S92" s="540">
        <f>'[3]8.Doprava'!$AK$4</f>
        <v>0</v>
      </c>
    </row>
    <row r="93" spans="2:19" ht="15.75" x14ac:dyDescent="0.25">
      <c r="B93" s="281" t="s">
        <v>263</v>
      </c>
      <c r="C93" s="270" t="s">
        <v>264</v>
      </c>
      <c r="D93" s="538">
        <f>SUM(D94)</f>
        <v>0</v>
      </c>
      <c r="E93" s="539">
        <f t="shared" ref="E93:G93" si="112">SUM(E94)</f>
        <v>0</v>
      </c>
      <c r="F93" s="539">
        <f t="shared" si="112"/>
        <v>0</v>
      </c>
      <c r="G93" s="540">
        <f t="shared" si="112"/>
        <v>0</v>
      </c>
      <c r="H93" s="538">
        <f>SUM(H94)</f>
        <v>700</v>
      </c>
      <c r="I93" s="539">
        <f t="shared" ref="I93:S93" si="113">SUM(I94)</f>
        <v>700</v>
      </c>
      <c r="J93" s="539">
        <f t="shared" si="113"/>
        <v>0</v>
      </c>
      <c r="K93" s="540">
        <f t="shared" si="113"/>
        <v>0</v>
      </c>
      <c r="L93" s="258">
        <f>SUM(L94)</f>
        <v>5000</v>
      </c>
      <c r="M93" s="257">
        <f t="shared" si="113"/>
        <v>5000</v>
      </c>
      <c r="N93" s="257">
        <f t="shared" si="113"/>
        <v>0</v>
      </c>
      <c r="O93" s="342">
        <f t="shared" si="113"/>
        <v>0</v>
      </c>
      <c r="P93" s="538">
        <f>SUM(P94)</f>
        <v>0</v>
      </c>
      <c r="Q93" s="539">
        <f t="shared" si="113"/>
        <v>0</v>
      </c>
      <c r="R93" s="539">
        <f t="shared" si="113"/>
        <v>0</v>
      </c>
      <c r="S93" s="540">
        <f t="shared" si="113"/>
        <v>0</v>
      </c>
    </row>
    <row r="94" spans="2:19" ht="16.5" thickBot="1" x14ac:dyDescent="0.3">
      <c r="B94" s="271">
        <v>1</v>
      </c>
      <c r="C94" s="272" t="s">
        <v>265</v>
      </c>
      <c r="D94" s="541">
        <f>SUM(E94:G94)</f>
        <v>0</v>
      </c>
      <c r="E94" s="542">
        <f>'[1]8.Doprava'!$AC$7</f>
        <v>0</v>
      </c>
      <c r="F94" s="542">
        <f>'[1]8.Doprava'!$AD$7</f>
        <v>0</v>
      </c>
      <c r="G94" s="543">
        <f>'[1]8.Doprava'!$AE$7</f>
        <v>0</v>
      </c>
      <c r="H94" s="541">
        <f>SUM(I94:K94)</f>
        <v>700</v>
      </c>
      <c r="I94" s="542">
        <f>'[2]8.Doprava'!$AF$7</f>
        <v>700</v>
      </c>
      <c r="J94" s="542">
        <f>'[2]8.Doprava'!$AG$7</f>
        <v>0</v>
      </c>
      <c r="K94" s="543">
        <f>'[2]8.Doprava'!$AH$7</f>
        <v>0</v>
      </c>
      <c r="L94" s="265">
        <f>SUM(M94:O94)</f>
        <v>5000</v>
      </c>
      <c r="M94" s="266">
        <f>'[3]8.Doprava'!$AF$7</f>
        <v>5000</v>
      </c>
      <c r="N94" s="266">
        <f>'[3]8.Doprava'!$AG$7</f>
        <v>0</v>
      </c>
      <c r="O94" s="620">
        <f>'[3]8.Doprava'!$AH$7</f>
        <v>0</v>
      </c>
      <c r="P94" s="541">
        <f>SUM(Q94:S94)</f>
        <v>0</v>
      </c>
      <c r="Q94" s="542">
        <f>'[3]8.Doprava'!$AI$7</f>
        <v>0</v>
      </c>
      <c r="R94" s="542">
        <f>'[3]8.Doprava'!$AJ$7</f>
        <v>0</v>
      </c>
      <c r="S94" s="543">
        <f>'[3]8.Doprava'!$AK$7</f>
        <v>0</v>
      </c>
    </row>
    <row r="95" spans="2:19" s="123" customFormat="1" ht="15.75" x14ac:dyDescent="0.25">
      <c r="B95" s="273" t="s">
        <v>266</v>
      </c>
      <c r="C95" s="274"/>
      <c r="D95" s="535">
        <f t="shared" ref="D95:G95" si="114">D96+D97+D106+D113+D116+D117+D118+D119</f>
        <v>12860939.989999998</v>
      </c>
      <c r="E95" s="536">
        <f t="shared" si="114"/>
        <v>12790270.069999998</v>
      </c>
      <c r="F95" s="536">
        <f t="shared" si="114"/>
        <v>70669.919999999998</v>
      </c>
      <c r="G95" s="537">
        <f t="shared" si="114"/>
        <v>0</v>
      </c>
      <c r="H95" s="535">
        <f t="shared" ref="H95:K95" si="115">H96+H97+H106+H113+H116+H117+H118+H119</f>
        <v>14587370.26</v>
      </c>
      <c r="I95" s="536">
        <f t="shared" si="115"/>
        <v>14116481.27</v>
      </c>
      <c r="J95" s="536">
        <f t="shared" si="115"/>
        <v>470888.99</v>
      </c>
      <c r="K95" s="537">
        <f t="shared" si="115"/>
        <v>0</v>
      </c>
      <c r="L95" s="263">
        <f t="shared" ref="L95:O95" si="116">L96+L97+L106+L113+L116+L117+L118+L119</f>
        <v>16919227</v>
      </c>
      <c r="M95" s="264">
        <f t="shared" si="116"/>
        <v>15924284</v>
      </c>
      <c r="N95" s="264">
        <f t="shared" si="116"/>
        <v>994943</v>
      </c>
      <c r="O95" s="341">
        <f t="shared" si="116"/>
        <v>0</v>
      </c>
      <c r="P95" s="535">
        <f t="shared" ref="P95:S95" si="117">P96+P97+P106+P113+P116+P117+P118+P119</f>
        <v>15833437.330000002</v>
      </c>
      <c r="Q95" s="536">
        <f t="shared" si="117"/>
        <v>14863714.48</v>
      </c>
      <c r="R95" s="536">
        <f t="shared" si="117"/>
        <v>969722.85</v>
      </c>
      <c r="S95" s="537">
        <f t="shared" si="117"/>
        <v>0</v>
      </c>
    </row>
    <row r="96" spans="2:19" ht="15.75" x14ac:dyDescent="0.25">
      <c r="B96" s="281" t="s">
        <v>267</v>
      </c>
      <c r="C96" s="270" t="s">
        <v>268</v>
      </c>
      <c r="D96" s="538">
        <f>SUM(E96:G96)</f>
        <v>4601.3200000000006</v>
      </c>
      <c r="E96" s="539">
        <f>'[1]9. Vzdelávanie'!$AC$4</f>
        <v>4601.3200000000006</v>
      </c>
      <c r="F96" s="539">
        <f>'[1]9. Vzdelávanie'!$AD$4</f>
        <v>0</v>
      </c>
      <c r="G96" s="540">
        <f>'[1]9. Vzdelávanie'!$AE$4</f>
        <v>0</v>
      </c>
      <c r="H96" s="538">
        <f>SUM(I96:K96)</f>
        <v>5031.84</v>
      </c>
      <c r="I96" s="539">
        <f>'[2]9. Vzdelávanie'!$AF$4</f>
        <v>5031.84</v>
      </c>
      <c r="J96" s="539">
        <f>'[2]9. Vzdelávanie'!$AG$4</f>
        <v>0</v>
      </c>
      <c r="K96" s="540">
        <f>'[2]9. Vzdelávanie'!$AH$4</f>
        <v>0</v>
      </c>
      <c r="L96" s="258">
        <f>SUM(M96:O96)</f>
        <v>6000</v>
      </c>
      <c r="M96" s="257">
        <f>'[3]9. Vzdelávanie'!$AF$4</f>
        <v>6000</v>
      </c>
      <c r="N96" s="257">
        <f>'[3]9. Vzdelávanie'!$AG$4</f>
        <v>0</v>
      </c>
      <c r="O96" s="342">
        <f>'[3]9. Vzdelávanie'!$AH$4</f>
        <v>0</v>
      </c>
      <c r="P96" s="538">
        <f>SUM(Q96:S96)</f>
        <v>5545.7800000000007</v>
      </c>
      <c r="Q96" s="539">
        <f>'[3]9. Vzdelávanie'!$AI$4</f>
        <v>5545.7800000000007</v>
      </c>
      <c r="R96" s="539">
        <f>'[3]9. Vzdelávanie'!$AJ$4</f>
        <v>0</v>
      </c>
      <c r="S96" s="540">
        <f>'[3]9. Vzdelávanie'!$AK$4</f>
        <v>0</v>
      </c>
    </row>
    <row r="97" spans="1:19" ht="15.75" x14ac:dyDescent="0.25">
      <c r="B97" s="281" t="s">
        <v>269</v>
      </c>
      <c r="C97" s="270" t="s">
        <v>270</v>
      </c>
      <c r="D97" s="538">
        <f t="shared" ref="D97:G97" si="118">SUM(D98:D105)</f>
        <v>2261663</v>
      </c>
      <c r="E97" s="539">
        <f t="shared" si="118"/>
        <v>2241735</v>
      </c>
      <c r="F97" s="539">
        <f t="shared" si="118"/>
        <v>19928</v>
      </c>
      <c r="G97" s="540">
        <f t="shared" si="118"/>
        <v>0</v>
      </c>
      <c r="H97" s="538">
        <f t="shared" ref="H97:K97" si="119">SUM(H98:H105)</f>
        <v>2628206.9</v>
      </c>
      <c r="I97" s="539">
        <f t="shared" si="119"/>
        <v>2350203.7999999998</v>
      </c>
      <c r="J97" s="539">
        <f t="shared" si="119"/>
        <v>278003.09999999998</v>
      </c>
      <c r="K97" s="540">
        <f t="shared" si="119"/>
        <v>0</v>
      </c>
      <c r="L97" s="258">
        <f t="shared" ref="L97:O97" si="120">SUM(L98:L105)</f>
        <v>2721447</v>
      </c>
      <c r="M97" s="257">
        <f t="shared" si="120"/>
        <v>2712446</v>
      </c>
      <c r="N97" s="257">
        <f t="shared" si="120"/>
        <v>9001</v>
      </c>
      <c r="O97" s="342">
        <f t="shared" si="120"/>
        <v>0</v>
      </c>
      <c r="P97" s="538">
        <f t="shared" ref="P97:S97" si="121">SUM(P98:P105)</f>
        <v>2721444.04</v>
      </c>
      <c r="Q97" s="539">
        <f t="shared" si="121"/>
        <v>2712443.7600000002</v>
      </c>
      <c r="R97" s="539">
        <f t="shared" si="121"/>
        <v>9000.2800000000007</v>
      </c>
      <c r="S97" s="540">
        <f t="shared" si="121"/>
        <v>0</v>
      </c>
    </row>
    <row r="98" spans="1:19" ht="15.75" x14ac:dyDescent="0.25">
      <c r="B98" s="269">
        <v>1</v>
      </c>
      <c r="C98" s="270" t="s">
        <v>271</v>
      </c>
      <c r="D98" s="538">
        <f>SUM(E98:G98)</f>
        <v>250875</v>
      </c>
      <c r="E98" s="539">
        <f>'[1]9. Vzdelávanie'!$AC$20</f>
        <v>241875</v>
      </c>
      <c r="F98" s="539">
        <f>'[1]9. Vzdelávanie'!$AD$20</f>
        <v>9000</v>
      </c>
      <c r="G98" s="540">
        <f>'[1]9. Vzdelávanie'!$AE$20</f>
        <v>0</v>
      </c>
      <c r="H98" s="538">
        <f>SUM(I98:K98)</f>
        <v>500780.36</v>
      </c>
      <c r="I98" s="539">
        <f>'[2]9. Vzdelávanie'!$AF$20</f>
        <v>262474</v>
      </c>
      <c r="J98" s="539">
        <f>'[2]9. Vzdelávanie'!$AG$20</f>
        <v>238306.36</v>
      </c>
      <c r="K98" s="540">
        <f>'[2]9. Vzdelávanie'!$AH$20</f>
        <v>0</v>
      </c>
      <c r="L98" s="258">
        <f>SUM(M98:O98)</f>
        <v>309409</v>
      </c>
      <c r="M98" s="257">
        <f>'[3]9. Vzdelávanie'!$AF$20</f>
        <v>307255</v>
      </c>
      <c r="N98" s="257">
        <f>'[3]9. Vzdelávanie'!$AG$20</f>
        <v>2154</v>
      </c>
      <c r="O98" s="342">
        <f>'[3]9. Vzdelávanie'!$AH$20</f>
        <v>0</v>
      </c>
      <c r="P98" s="538">
        <f>SUM(Q98:S98)</f>
        <v>309408.90000000002</v>
      </c>
      <c r="Q98" s="539">
        <f>'[3]9. Vzdelávanie'!$AI$20</f>
        <v>307255</v>
      </c>
      <c r="R98" s="539">
        <f>'[3]9. Vzdelávanie'!$AJ$20</f>
        <v>2153.9</v>
      </c>
      <c r="S98" s="540">
        <f>'[3]9. Vzdelávanie'!$AK$20</f>
        <v>0</v>
      </c>
    </row>
    <row r="99" spans="1:19" ht="15.75" x14ac:dyDescent="0.25">
      <c r="B99" s="269">
        <v>2</v>
      </c>
      <c r="C99" s="270" t="s">
        <v>272</v>
      </c>
      <c r="D99" s="538">
        <f t="shared" ref="D99:D105" si="122">SUM(E99:G99)</f>
        <v>416565</v>
      </c>
      <c r="E99" s="539">
        <f>'[1]9. Vzdelávanie'!$AC$21</f>
        <v>405637</v>
      </c>
      <c r="F99" s="539">
        <f>'[1]9. Vzdelávanie'!$AD$21</f>
        <v>10928</v>
      </c>
      <c r="G99" s="540">
        <f>'[1]9. Vzdelávanie'!$AE$21</f>
        <v>0</v>
      </c>
      <c r="H99" s="538">
        <f t="shared" ref="H99:H105" si="123">SUM(I99:K99)</f>
        <v>424073.54</v>
      </c>
      <c r="I99" s="539">
        <f>'[2]9. Vzdelávanie'!$AF$21</f>
        <v>398682</v>
      </c>
      <c r="J99" s="539">
        <f>'[2]9. Vzdelávanie'!$AG$21</f>
        <v>25391.54</v>
      </c>
      <c r="K99" s="540">
        <f>'[2]9. Vzdelávanie'!$AH$21</f>
        <v>0</v>
      </c>
      <c r="L99" s="258">
        <f t="shared" ref="L99:L105" si="124">SUM(M99:O99)</f>
        <v>478707</v>
      </c>
      <c r="M99" s="257">
        <f>'[3]9. Vzdelávanie'!$AF$23</f>
        <v>478707</v>
      </c>
      <c r="N99" s="257">
        <f>'[3]9. Vzdelávanie'!$AG$23</f>
        <v>0</v>
      </c>
      <c r="O99" s="342">
        <f>'[3]9. Vzdelávanie'!$AH$23</f>
        <v>0</v>
      </c>
      <c r="P99" s="538">
        <f t="shared" ref="P99:P105" si="125">SUM(Q99:S99)</f>
        <v>478707</v>
      </c>
      <c r="Q99" s="539">
        <f>'[3]9. Vzdelávanie'!$AI$23</f>
        <v>478707</v>
      </c>
      <c r="R99" s="539">
        <f>'[3]9. Vzdelávanie'!$AJ$23</f>
        <v>0</v>
      </c>
      <c r="S99" s="540">
        <f>'[3]9. Vzdelávanie'!$AK$23</f>
        <v>0</v>
      </c>
    </row>
    <row r="100" spans="1:19" ht="15.75" x14ac:dyDescent="0.25">
      <c r="B100" s="269">
        <v>3</v>
      </c>
      <c r="C100" s="270" t="s">
        <v>273</v>
      </c>
      <c r="D100" s="538">
        <f t="shared" si="122"/>
        <v>593168</v>
      </c>
      <c r="E100" s="539">
        <f>'[1]9. Vzdelávanie'!$AC$22</f>
        <v>593168</v>
      </c>
      <c r="F100" s="539">
        <f>'[1]9. Vzdelávanie'!$AD$22</f>
        <v>0</v>
      </c>
      <c r="G100" s="540">
        <f>'[1]9. Vzdelávanie'!$AE$22</f>
        <v>0</v>
      </c>
      <c r="H100" s="538">
        <f t="shared" si="123"/>
        <v>661475</v>
      </c>
      <c r="I100" s="539">
        <f>'[2]9. Vzdelávanie'!$AF$22</f>
        <v>650169.80000000005</v>
      </c>
      <c r="J100" s="539">
        <f>'[2]9. Vzdelávanie'!$AG$22</f>
        <v>11305.2</v>
      </c>
      <c r="K100" s="540">
        <f>'[2]9. Vzdelávanie'!$AH$22</f>
        <v>0</v>
      </c>
      <c r="L100" s="258">
        <f t="shared" si="124"/>
        <v>737546</v>
      </c>
      <c r="M100" s="257">
        <f>'[3]9. Vzdelávanie'!$AF$26</f>
        <v>737546</v>
      </c>
      <c r="N100" s="257">
        <f>'[3]9. Vzdelávanie'!$AG$26</f>
        <v>0</v>
      </c>
      <c r="O100" s="342">
        <f>'[3]9. Vzdelávanie'!$AH$26</f>
        <v>0</v>
      </c>
      <c r="P100" s="538">
        <f t="shared" si="125"/>
        <v>737545.6</v>
      </c>
      <c r="Q100" s="539">
        <f>'[3]9. Vzdelávanie'!$AI$26</f>
        <v>737545.6</v>
      </c>
      <c r="R100" s="539">
        <f>'[3]9. Vzdelávanie'!$AJ$26</f>
        <v>0</v>
      </c>
      <c r="S100" s="540">
        <f>'[3]9. Vzdelávanie'!$AK$26</f>
        <v>0</v>
      </c>
    </row>
    <row r="101" spans="1:19" ht="15.75" x14ac:dyDescent="0.25">
      <c r="A101" s="102"/>
      <c r="B101" s="269">
        <v>4</v>
      </c>
      <c r="C101" s="270" t="s">
        <v>422</v>
      </c>
      <c r="D101" s="538">
        <f t="shared" si="122"/>
        <v>0</v>
      </c>
      <c r="E101" s="539">
        <f>'[1]9. Vzdelávanie'!$AC$23</f>
        <v>0</v>
      </c>
      <c r="F101" s="539">
        <f>'[1]9. Vzdelávanie'!$AD$23</f>
        <v>0</v>
      </c>
      <c r="G101" s="540">
        <f>'[1]9. Vzdelávanie'!$AE$23</f>
        <v>0</v>
      </c>
      <c r="H101" s="538">
        <f t="shared" si="123"/>
        <v>0</v>
      </c>
      <c r="I101" s="539">
        <f>'[2]9. Vzdelávanie'!$AF$23</f>
        <v>0</v>
      </c>
      <c r="J101" s="539">
        <f>'[2]9. Vzdelávanie'!$AG$23</f>
        <v>0</v>
      </c>
      <c r="K101" s="540">
        <f>'[2]9. Vzdelávanie'!$AH$23</f>
        <v>0</v>
      </c>
      <c r="L101" s="258">
        <f t="shared" si="124"/>
        <v>0</v>
      </c>
      <c r="M101" s="257">
        <f>'[3]9. Vzdelávanie'!$AF$29</f>
        <v>0</v>
      </c>
      <c r="N101" s="257">
        <f>'[3]9. Vzdelávanie'!$AG$29</f>
        <v>0</v>
      </c>
      <c r="O101" s="342">
        <f>'[3]9. Vzdelávanie'!$AH$29</f>
        <v>0</v>
      </c>
      <c r="P101" s="538">
        <f t="shared" si="125"/>
        <v>0</v>
      </c>
      <c r="Q101" s="539">
        <f>'[3]9. Vzdelávanie'!$AI$29</f>
        <v>0</v>
      </c>
      <c r="R101" s="539">
        <f>'[3]9. Vzdelávanie'!$AJ$29</f>
        <v>0</v>
      </c>
      <c r="S101" s="540">
        <f>'[3]9. Vzdelávanie'!$AK$29</f>
        <v>0</v>
      </c>
    </row>
    <row r="102" spans="1:19" ht="15.75" x14ac:dyDescent="0.25">
      <c r="B102" s="269">
        <v>5</v>
      </c>
      <c r="C102" s="270" t="s">
        <v>275</v>
      </c>
      <c r="D102" s="538">
        <f t="shared" si="122"/>
        <v>290035</v>
      </c>
      <c r="E102" s="539">
        <f>'[1]9. Vzdelávanie'!$AC$24</f>
        <v>290035</v>
      </c>
      <c r="F102" s="539">
        <f>'[1]9. Vzdelávanie'!$AD$24</f>
        <v>0</v>
      </c>
      <c r="G102" s="540">
        <f>'[1]9. Vzdelávanie'!$AE$24</f>
        <v>0</v>
      </c>
      <c r="H102" s="538">
        <f t="shared" si="123"/>
        <v>296705</v>
      </c>
      <c r="I102" s="539">
        <f>'[2]9. Vzdelávanie'!$AF$24</f>
        <v>296705</v>
      </c>
      <c r="J102" s="539">
        <f>'[2]9. Vzdelávanie'!$AG$24</f>
        <v>0</v>
      </c>
      <c r="K102" s="540">
        <f>'[2]9. Vzdelávanie'!$AH$24</f>
        <v>0</v>
      </c>
      <c r="L102" s="258">
        <f t="shared" si="124"/>
        <v>375937</v>
      </c>
      <c r="M102" s="257">
        <f>'[3]9. Vzdelávanie'!$AF$30</f>
        <v>373117</v>
      </c>
      <c r="N102" s="257">
        <f>'[3]9. Vzdelávanie'!$AG$30</f>
        <v>2820</v>
      </c>
      <c r="O102" s="342">
        <f>'[3]9. Vzdelávanie'!$AH$30</f>
        <v>0</v>
      </c>
      <c r="P102" s="538">
        <f t="shared" si="125"/>
        <v>375935.69</v>
      </c>
      <c r="Q102" s="539">
        <f>'[3]9. Vzdelávanie'!$AI$30</f>
        <v>373116.08</v>
      </c>
      <c r="R102" s="539">
        <f>'[3]9. Vzdelávanie'!$AJ$30</f>
        <v>2819.61</v>
      </c>
      <c r="S102" s="540">
        <f>'[3]9. Vzdelávanie'!$AK$30</f>
        <v>0</v>
      </c>
    </row>
    <row r="103" spans="1:19" ht="15.75" x14ac:dyDescent="0.25">
      <c r="B103" s="269">
        <v>6</v>
      </c>
      <c r="C103" s="270" t="s">
        <v>276</v>
      </c>
      <c r="D103" s="538">
        <f t="shared" si="122"/>
        <v>314075</v>
      </c>
      <c r="E103" s="539">
        <f>'[1]9. Vzdelávanie'!$AC$25</f>
        <v>314075</v>
      </c>
      <c r="F103" s="539">
        <f>'[1]9. Vzdelávanie'!$AD$25</f>
        <v>0</v>
      </c>
      <c r="G103" s="540">
        <f>'[1]9. Vzdelávanie'!$AE$25</f>
        <v>0</v>
      </c>
      <c r="H103" s="538">
        <f t="shared" si="123"/>
        <v>329940</v>
      </c>
      <c r="I103" s="539">
        <f>'[2]9. Vzdelávanie'!$AF$25</f>
        <v>326940</v>
      </c>
      <c r="J103" s="539">
        <f>'[2]9. Vzdelávanie'!$AG$25</f>
        <v>3000</v>
      </c>
      <c r="K103" s="540">
        <f>'[2]9. Vzdelávanie'!$AH$25</f>
        <v>0</v>
      </c>
      <c r="L103" s="258">
        <f t="shared" si="124"/>
        <v>409124</v>
      </c>
      <c r="M103" s="257">
        <f>'[3]9. Vzdelávanie'!$AF$33</f>
        <v>409124</v>
      </c>
      <c r="N103" s="257">
        <f>'[3]9. Vzdelávanie'!$AG$33</f>
        <v>0</v>
      </c>
      <c r="O103" s="342">
        <f>'[3]9. Vzdelávanie'!$AH$33</f>
        <v>0</v>
      </c>
      <c r="P103" s="538">
        <f t="shared" si="125"/>
        <v>409123.08</v>
      </c>
      <c r="Q103" s="539">
        <f>'[3]9. Vzdelávanie'!$AI$33</f>
        <v>409123.08</v>
      </c>
      <c r="R103" s="539">
        <f>'[3]9. Vzdelávanie'!$AJ$33</f>
        <v>0</v>
      </c>
      <c r="S103" s="540">
        <f>'[3]9. Vzdelávanie'!$AK$33</f>
        <v>0</v>
      </c>
    </row>
    <row r="104" spans="1:19" ht="15.75" x14ac:dyDescent="0.25">
      <c r="B104" s="269">
        <v>7</v>
      </c>
      <c r="C104" s="270" t="s">
        <v>277</v>
      </c>
      <c r="D104" s="538">
        <f t="shared" si="122"/>
        <v>314833</v>
      </c>
      <c r="E104" s="539">
        <f>'[1]9. Vzdelávanie'!$AC$26</f>
        <v>314833</v>
      </c>
      <c r="F104" s="539">
        <f>'[1]9. Vzdelávanie'!$AD$26</f>
        <v>0</v>
      </c>
      <c r="G104" s="540">
        <f>'[1]9. Vzdelávanie'!$AE$26</f>
        <v>0</v>
      </c>
      <c r="H104" s="538">
        <f t="shared" si="123"/>
        <v>327336</v>
      </c>
      <c r="I104" s="539">
        <f>'[2]9. Vzdelávanie'!$AF$26</f>
        <v>327336</v>
      </c>
      <c r="J104" s="539">
        <f>'[2]9. Vzdelávanie'!$AG$26</f>
        <v>0</v>
      </c>
      <c r="K104" s="540">
        <f>'[2]9. Vzdelávanie'!$AH$26</f>
        <v>0</v>
      </c>
      <c r="L104" s="258">
        <f t="shared" si="124"/>
        <v>410724</v>
      </c>
      <c r="M104" s="257">
        <f>'[3]9. Vzdelávanie'!$AF$36</f>
        <v>406697</v>
      </c>
      <c r="N104" s="257">
        <f>'[3]9. Vzdelávanie'!$AG$36</f>
        <v>4027</v>
      </c>
      <c r="O104" s="342">
        <f>'[3]9. Vzdelávanie'!$AH$36</f>
        <v>0</v>
      </c>
      <c r="P104" s="538">
        <f t="shared" si="125"/>
        <v>410723.77</v>
      </c>
      <c r="Q104" s="539">
        <f>'[3]9. Vzdelávanie'!$AI$36</f>
        <v>406697</v>
      </c>
      <c r="R104" s="539">
        <f>'[3]9. Vzdelávanie'!$AJ$36</f>
        <v>4026.77</v>
      </c>
      <c r="S104" s="540">
        <f>'[3]9. Vzdelávanie'!$AK$36</f>
        <v>0</v>
      </c>
    </row>
    <row r="105" spans="1:19" ht="15.75" x14ac:dyDescent="0.25">
      <c r="B105" s="269">
        <v>8</v>
      </c>
      <c r="C105" s="270" t="s">
        <v>430</v>
      </c>
      <c r="D105" s="538">
        <f t="shared" si="122"/>
        <v>82112</v>
      </c>
      <c r="E105" s="539">
        <f>'[1]9. Vzdelávanie'!$AC$27</f>
        <v>82112</v>
      </c>
      <c r="F105" s="539">
        <f>'[1]9. Vzdelávanie'!$AD$27</f>
        <v>0</v>
      </c>
      <c r="G105" s="540">
        <f>'[1]9. Vzdelávanie'!$AE$27</f>
        <v>0</v>
      </c>
      <c r="H105" s="538">
        <f t="shared" si="123"/>
        <v>87897</v>
      </c>
      <c r="I105" s="539">
        <f>'[2]9. Vzdelávanie'!$AF$27</f>
        <v>87897</v>
      </c>
      <c r="J105" s="539">
        <f>'[2]9. Vzdelávanie'!$AG$27</f>
        <v>0</v>
      </c>
      <c r="K105" s="540">
        <f>'[2]9. Vzdelávanie'!$AH$27</f>
        <v>0</v>
      </c>
      <c r="L105" s="258">
        <f t="shared" si="124"/>
        <v>0</v>
      </c>
      <c r="M105" s="257">
        <f>'[3]9. Vzdelávanie'!$AF$39</f>
        <v>0</v>
      </c>
      <c r="N105" s="257">
        <f>'[3]9. Vzdelávanie'!$AG$39</f>
        <v>0</v>
      </c>
      <c r="O105" s="342">
        <f>'[3]9. Vzdelávanie'!$AH$39</f>
        <v>0</v>
      </c>
      <c r="P105" s="538">
        <f t="shared" si="125"/>
        <v>0</v>
      </c>
      <c r="Q105" s="539">
        <f>'[3]9. Vzdelávanie'!$AI$39</f>
        <v>0</v>
      </c>
      <c r="R105" s="539">
        <f>'[3]9. Vzdelávanie'!$AJ$39</f>
        <v>0</v>
      </c>
      <c r="S105" s="540">
        <f>'[3]9. Vzdelávanie'!$AK$39</f>
        <v>0</v>
      </c>
    </row>
    <row r="106" spans="1:19" ht="15.75" x14ac:dyDescent="0.25">
      <c r="B106" s="281" t="s">
        <v>278</v>
      </c>
      <c r="C106" s="270" t="s">
        <v>279</v>
      </c>
      <c r="D106" s="538">
        <f t="shared" ref="D106:G106" si="126">SUM(D107:D112)</f>
        <v>6997274.9799999995</v>
      </c>
      <c r="E106" s="539">
        <f t="shared" si="126"/>
        <v>6997274.9799999995</v>
      </c>
      <c r="F106" s="539">
        <f t="shared" si="126"/>
        <v>0</v>
      </c>
      <c r="G106" s="540">
        <f t="shared" si="126"/>
        <v>0</v>
      </c>
      <c r="H106" s="538">
        <f t="shared" ref="H106:K106" si="127">SUM(H107:H112)</f>
        <v>7619917.8599999994</v>
      </c>
      <c r="I106" s="539">
        <f t="shared" si="127"/>
        <v>7459464.4900000002</v>
      </c>
      <c r="J106" s="539">
        <f t="shared" si="127"/>
        <v>160453.37</v>
      </c>
      <c r="K106" s="540">
        <f t="shared" si="127"/>
        <v>0</v>
      </c>
      <c r="L106" s="258">
        <f t="shared" ref="L106:O106" si="128">SUM(L107:L112)</f>
        <v>8831187</v>
      </c>
      <c r="M106" s="257">
        <f t="shared" si="128"/>
        <v>7886387</v>
      </c>
      <c r="N106" s="257">
        <f t="shared" si="128"/>
        <v>944800</v>
      </c>
      <c r="O106" s="342">
        <f t="shared" si="128"/>
        <v>0</v>
      </c>
      <c r="P106" s="538">
        <f t="shared" ref="P106:S106" si="129">SUM(P107:P112)</f>
        <v>8821771.4800000004</v>
      </c>
      <c r="Q106" s="539">
        <f t="shared" si="129"/>
        <v>7881189.5500000007</v>
      </c>
      <c r="R106" s="539">
        <f t="shared" si="129"/>
        <v>940581.92999999993</v>
      </c>
      <c r="S106" s="540">
        <f t="shared" si="129"/>
        <v>0</v>
      </c>
    </row>
    <row r="107" spans="1:19" ht="15.75" x14ac:dyDescent="0.25">
      <c r="B107" s="269">
        <v>1</v>
      </c>
      <c r="C107" s="270" t="s">
        <v>280</v>
      </c>
      <c r="D107" s="538">
        <f t="shared" ref="D107:D112" si="130">SUM(E107:G107)</f>
        <v>745399</v>
      </c>
      <c r="E107" s="539">
        <f>'[1]9. Vzdelávanie'!$AC$29</f>
        <v>745399</v>
      </c>
      <c r="F107" s="539">
        <f>'[1]9. Vzdelávanie'!$AD$29</f>
        <v>0</v>
      </c>
      <c r="G107" s="540">
        <f>'[1]9. Vzdelávanie'!$AE$29</f>
        <v>0</v>
      </c>
      <c r="H107" s="538">
        <f t="shared" ref="H107:H112" si="131">SUM(I107:K107)</f>
        <v>817135.86</v>
      </c>
      <c r="I107" s="539">
        <f>'[2]9. Vzdelávanie'!$AF$29</f>
        <v>737664</v>
      </c>
      <c r="J107" s="539">
        <f>'[2]9. Vzdelávanie'!$AG$29</f>
        <v>79471.86</v>
      </c>
      <c r="K107" s="540">
        <f>'[2]9. Vzdelávanie'!$AH$29</f>
        <v>0</v>
      </c>
      <c r="L107" s="258">
        <f t="shared" ref="L107:L112" si="132">SUM(M107:O107)</f>
        <v>1440592</v>
      </c>
      <c r="M107" s="257">
        <f>'[3]9. Vzdelávanie'!$AF$41</f>
        <v>762292</v>
      </c>
      <c r="N107" s="257">
        <f>'[3]9. Vzdelávanie'!$AG$41</f>
        <v>678300</v>
      </c>
      <c r="O107" s="342">
        <f>'[3]9. Vzdelávanie'!$AH$41</f>
        <v>0</v>
      </c>
      <c r="P107" s="538">
        <f t="shared" ref="P107:P112" si="133">SUM(Q107:S107)</f>
        <v>1440163</v>
      </c>
      <c r="Q107" s="539">
        <f>'[3]9. Vzdelávanie'!$AI$41</f>
        <v>762291.56</v>
      </c>
      <c r="R107" s="539">
        <f>'[3]9. Vzdelávanie'!$AJ$41</f>
        <v>677871.44</v>
      </c>
      <c r="S107" s="540">
        <f>'[3]9. Vzdelávanie'!$AK$41</f>
        <v>0</v>
      </c>
    </row>
    <row r="108" spans="1:19" ht="15.75" x14ac:dyDescent="0.25">
      <c r="B108" s="269">
        <v>2</v>
      </c>
      <c r="C108" s="270" t="s">
        <v>447</v>
      </c>
      <c r="D108" s="538">
        <f t="shared" si="130"/>
        <v>1059725</v>
      </c>
      <c r="E108" s="539">
        <f>'[1]9. Vzdelávanie'!$AC$32</f>
        <v>1059725</v>
      </c>
      <c r="F108" s="539">
        <f>'[1]9. Vzdelávanie'!$AD$32</f>
        <v>0</v>
      </c>
      <c r="G108" s="540">
        <f>'[1]9. Vzdelávanie'!$AE$32</f>
        <v>0</v>
      </c>
      <c r="H108" s="538">
        <f t="shared" si="131"/>
        <v>1143621</v>
      </c>
      <c r="I108" s="539">
        <f>'[2]9. Vzdelávanie'!$AF$32</f>
        <v>1143621</v>
      </c>
      <c r="J108" s="539">
        <f>'[2]9. Vzdelávanie'!$AG$32</f>
        <v>0</v>
      </c>
      <c r="K108" s="540">
        <f>'[2]9. Vzdelávanie'!$AH$32</f>
        <v>0</v>
      </c>
      <c r="L108" s="258">
        <f t="shared" si="132"/>
        <v>1186800</v>
      </c>
      <c r="M108" s="257">
        <f>'[3]9. Vzdelávanie'!$AF$45</f>
        <v>1186800</v>
      </c>
      <c r="N108" s="257">
        <f>'[3]9. Vzdelávanie'!$AG$45</f>
        <v>0</v>
      </c>
      <c r="O108" s="342">
        <f>'[3]9. Vzdelávanie'!$AH$45</f>
        <v>0</v>
      </c>
      <c r="P108" s="538">
        <f t="shared" si="133"/>
        <v>1185524</v>
      </c>
      <c r="Q108" s="539">
        <f>'[3]9. Vzdelávanie'!$AI$45</f>
        <v>1185524</v>
      </c>
      <c r="R108" s="539">
        <f>'[3]9. Vzdelávanie'!$AJ$45</f>
        <v>0</v>
      </c>
      <c r="S108" s="540">
        <f>'[3]9. Vzdelávanie'!$AK$45</f>
        <v>0</v>
      </c>
    </row>
    <row r="109" spans="1:19" ht="15.75" x14ac:dyDescent="0.25">
      <c r="A109" s="124"/>
      <c r="B109" s="269">
        <v>3</v>
      </c>
      <c r="C109" s="270" t="s">
        <v>448</v>
      </c>
      <c r="D109" s="538">
        <f t="shared" si="130"/>
        <v>1827071.75</v>
      </c>
      <c r="E109" s="539">
        <f>'[1]9. Vzdelávanie'!$AC$36</f>
        <v>1827071.75</v>
      </c>
      <c r="F109" s="539">
        <f>'[1]9. Vzdelávanie'!$AD$36</f>
        <v>0</v>
      </c>
      <c r="G109" s="540">
        <f>'[1]9. Vzdelávanie'!$AE$36</f>
        <v>0</v>
      </c>
      <c r="H109" s="538">
        <f t="shared" si="131"/>
        <v>1870783</v>
      </c>
      <c r="I109" s="539">
        <f>'[2]9. Vzdelávanie'!$AF$36</f>
        <v>1870783</v>
      </c>
      <c r="J109" s="539">
        <f>'[2]9. Vzdelávanie'!$AG$36</f>
        <v>0</v>
      </c>
      <c r="K109" s="540">
        <f>'[2]9. Vzdelávanie'!$AH$36</f>
        <v>0</v>
      </c>
      <c r="L109" s="258">
        <f t="shared" si="132"/>
        <v>2274467</v>
      </c>
      <c r="M109" s="257">
        <f>'[3]9. Vzdelávanie'!$AF$49</f>
        <v>2007967</v>
      </c>
      <c r="N109" s="257">
        <f>'[3]9. Vzdelávanie'!$AG$49</f>
        <v>266500</v>
      </c>
      <c r="O109" s="342">
        <f>'[3]9. Vzdelávanie'!$AH$49</f>
        <v>0</v>
      </c>
      <c r="P109" s="538">
        <f t="shared" si="133"/>
        <v>2270676.7400000002</v>
      </c>
      <c r="Q109" s="539">
        <f>'[3]9. Vzdelávanie'!$AI$49</f>
        <v>2007966.25</v>
      </c>
      <c r="R109" s="539">
        <f>'[3]9. Vzdelávanie'!$AJ$49</f>
        <v>262710.49</v>
      </c>
      <c r="S109" s="540">
        <f>'[3]9. Vzdelávanie'!$AK$49</f>
        <v>0</v>
      </c>
    </row>
    <row r="110" spans="1:19" ht="15.75" x14ac:dyDescent="0.25">
      <c r="A110" s="124"/>
      <c r="B110" s="269">
        <v>4</v>
      </c>
      <c r="C110" s="270" t="s">
        <v>449</v>
      </c>
      <c r="D110" s="538">
        <f t="shared" si="130"/>
        <v>1519330.77</v>
      </c>
      <c r="E110" s="539">
        <f>'[1]9. Vzdelávanie'!$AC$41</f>
        <v>1519330.77</v>
      </c>
      <c r="F110" s="539">
        <f>'[1]9. Vzdelávanie'!$AD$41</f>
        <v>0</v>
      </c>
      <c r="G110" s="540">
        <f>'[1]9. Vzdelávanie'!$AE$41</f>
        <v>0</v>
      </c>
      <c r="H110" s="538">
        <f t="shared" si="131"/>
        <v>1696163</v>
      </c>
      <c r="I110" s="539">
        <f>'[2]9. Vzdelávanie'!$AF$41</f>
        <v>1696163</v>
      </c>
      <c r="J110" s="539">
        <f>'[2]9. Vzdelávanie'!$AG$41</f>
        <v>0</v>
      </c>
      <c r="K110" s="540">
        <f>'[2]9. Vzdelávanie'!$AH$41</f>
        <v>0</v>
      </c>
      <c r="L110" s="258">
        <f t="shared" si="132"/>
        <v>1734782</v>
      </c>
      <c r="M110" s="257">
        <f>'[3]9. Vzdelávanie'!$AF$54</f>
        <v>1734782</v>
      </c>
      <c r="N110" s="257">
        <f>'[3]9. Vzdelávanie'!$AG$54</f>
        <v>0</v>
      </c>
      <c r="O110" s="342">
        <f>'[3]9. Vzdelávanie'!$AH$54</f>
        <v>0</v>
      </c>
      <c r="P110" s="538">
        <f t="shared" si="133"/>
        <v>1734782</v>
      </c>
      <c r="Q110" s="539">
        <f>'[3]9. Vzdelávanie'!$AI$54</f>
        <v>1734782</v>
      </c>
      <c r="R110" s="539">
        <f>'[3]9. Vzdelávanie'!$AJ$54</f>
        <v>0</v>
      </c>
      <c r="S110" s="540">
        <f>'[3]9. Vzdelávanie'!$AK$54</f>
        <v>0</v>
      </c>
    </row>
    <row r="111" spans="1:19" ht="15.75" x14ac:dyDescent="0.25">
      <c r="A111" s="124"/>
      <c r="B111" s="269">
        <v>5</v>
      </c>
      <c r="C111" s="270" t="s">
        <v>450</v>
      </c>
      <c r="D111" s="538">
        <f t="shared" si="130"/>
        <v>1145596.46</v>
      </c>
      <c r="E111" s="539">
        <f>'[1]9. Vzdelávanie'!$AC$44</f>
        <v>1145596.46</v>
      </c>
      <c r="F111" s="539">
        <f>'[1]9. Vzdelávanie'!$AD$44</f>
        <v>0</v>
      </c>
      <c r="G111" s="540">
        <f>'[1]9. Vzdelávanie'!$AE$44</f>
        <v>0</v>
      </c>
      <c r="H111" s="538">
        <f t="shared" si="131"/>
        <v>1350055</v>
      </c>
      <c r="I111" s="539">
        <f>'[2]9. Vzdelávanie'!$AF$44</f>
        <v>1269073.49</v>
      </c>
      <c r="J111" s="539">
        <f>'[2]9. Vzdelávanie'!$AG$44</f>
        <v>80981.509999999995</v>
      </c>
      <c r="K111" s="540">
        <f>'[2]9. Vzdelávanie'!$AH$44</f>
        <v>0</v>
      </c>
      <c r="L111" s="258">
        <f t="shared" si="132"/>
        <v>1411499</v>
      </c>
      <c r="M111" s="257">
        <f>'[3]9. Vzdelávanie'!$AF$57</f>
        <v>1411499</v>
      </c>
      <c r="N111" s="257">
        <f>'[3]9. Vzdelávanie'!$AG$57</f>
        <v>0</v>
      </c>
      <c r="O111" s="342">
        <f>'[3]9. Vzdelávanie'!$AH$57</f>
        <v>0</v>
      </c>
      <c r="P111" s="538">
        <f t="shared" si="133"/>
        <v>1410904</v>
      </c>
      <c r="Q111" s="539">
        <f>'[3]9. Vzdelávanie'!$AI$57</f>
        <v>1410904</v>
      </c>
      <c r="R111" s="539">
        <f>'[3]9. Vzdelávanie'!$AJ$57</f>
        <v>0</v>
      </c>
      <c r="S111" s="540">
        <f>'[3]9. Vzdelávanie'!$AK$57</f>
        <v>0</v>
      </c>
    </row>
    <row r="112" spans="1:19" ht="15.75" x14ac:dyDescent="0.25">
      <c r="A112" s="124"/>
      <c r="B112" s="269">
        <v>6</v>
      </c>
      <c r="C112" s="270" t="s">
        <v>451</v>
      </c>
      <c r="D112" s="538">
        <f t="shared" si="130"/>
        <v>700152</v>
      </c>
      <c r="E112" s="539">
        <f>'[1]9. Vzdelávanie'!$AC$47</f>
        <v>700152</v>
      </c>
      <c r="F112" s="539">
        <f>'[1]9. Vzdelávanie'!$AD$47</f>
        <v>0</v>
      </c>
      <c r="G112" s="540">
        <f>'[1]9. Vzdelávanie'!$AE$47</f>
        <v>0</v>
      </c>
      <c r="H112" s="538">
        <f t="shared" si="131"/>
        <v>742160</v>
      </c>
      <c r="I112" s="539">
        <f>'[2]9. Vzdelávanie'!$AF$47</f>
        <v>742160</v>
      </c>
      <c r="J112" s="539">
        <f>'[2]9. Vzdelávanie'!$AG$47</f>
        <v>0</v>
      </c>
      <c r="K112" s="540">
        <f>'[2]9. Vzdelávanie'!$AH$47</f>
        <v>0</v>
      </c>
      <c r="L112" s="258">
        <f t="shared" si="132"/>
        <v>783047</v>
      </c>
      <c r="M112" s="257">
        <f>'[3]9. Vzdelávanie'!$AF$60</f>
        <v>783047</v>
      </c>
      <c r="N112" s="257">
        <f>'[3]9. Vzdelávanie'!$AG$60</f>
        <v>0</v>
      </c>
      <c r="O112" s="342">
        <f>'[3]9. Vzdelávanie'!$AH$60</f>
        <v>0</v>
      </c>
      <c r="P112" s="538">
        <f t="shared" si="133"/>
        <v>779721.74</v>
      </c>
      <c r="Q112" s="539">
        <f>'[3]9. Vzdelávanie'!$AI$60</f>
        <v>779721.74</v>
      </c>
      <c r="R112" s="539">
        <f>'[3]9. Vzdelávanie'!$AJ$60</f>
        <v>0</v>
      </c>
      <c r="S112" s="540">
        <f>'[3]9. Vzdelávanie'!$AK$60</f>
        <v>0</v>
      </c>
    </row>
    <row r="113" spans="1:19" ht="15.75" x14ac:dyDescent="0.25">
      <c r="A113" s="124"/>
      <c r="B113" s="281" t="s">
        <v>286</v>
      </c>
      <c r="C113" s="270" t="s">
        <v>287</v>
      </c>
      <c r="D113" s="538">
        <f t="shared" ref="D113:G113" si="134">SUM(D114:D115)</f>
        <v>1038540</v>
      </c>
      <c r="E113" s="539">
        <f t="shared" si="134"/>
        <v>1038540</v>
      </c>
      <c r="F113" s="539">
        <f t="shared" si="134"/>
        <v>0</v>
      </c>
      <c r="G113" s="540">
        <f t="shared" si="134"/>
        <v>0</v>
      </c>
      <c r="H113" s="538">
        <f t="shared" ref="H113:J113" si="135">SUM(H114:H115)</f>
        <v>1089073</v>
      </c>
      <c r="I113" s="539">
        <f t="shared" si="135"/>
        <v>1089073</v>
      </c>
      <c r="J113" s="539">
        <f t="shared" si="135"/>
        <v>0</v>
      </c>
      <c r="K113" s="540">
        <f>SUM(K114:K115)</f>
        <v>0</v>
      </c>
      <c r="L113" s="258">
        <f t="shared" ref="L113:N113" si="136">SUM(L114:L115)</f>
        <v>1054198</v>
      </c>
      <c r="M113" s="257">
        <f t="shared" si="136"/>
        <v>1054198</v>
      </c>
      <c r="N113" s="257">
        <f t="shared" si="136"/>
        <v>0</v>
      </c>
      <c r="O113" s="342">
        <f>SUM(O114:O115)</f>
        <v>0</v>
      </c>
      <c r="P113" s="538">
        <f t="shared" ref="P113:R113" si="137">SUM(P114:P115)</f>
        <v>1054196.55</v>
      </c>
      <c r="Q113" s="539">
        <f t="shared" si="137"/>
        <v>1054196.55</v>
      </c>
      <c r="R113" s="539">
        <f t="shared" si="137"/>
        <v>0</v>
      </c>
      <c r="S113" s="540">
        <f>SUM(S114:S115)</f>
        <v>0</v>
      </c>
    </row>
    <row r="114" spans="1:19" ht="15.75" x14ac:dyDescent="0.25">
      <c r="A114" s="124"/>
      <c r="B114" s="269">
        <v>1</v>
      </c>
      <c r="C114" s="270" t="s">
        <v>288</v>
      </c>
      <c r="D114" s="538">
        <f t="shared" ref="D114:D119" si="138">SUM(E114:G114)</f>
        <v>736500</v>
      </c>
      <c r="E114" s="539">
        <f>'[1]9. Vzdelávanie'!$AC$51</f>
        <v>736500</v>
      </c>
      <c r="F114" s="539">
        <f>'[1]9. Vzdelávanie'!$AD$51</f>
        <v>0</v>
      </c>
      <c r="G114" s="540">
        <f>'[1]9. Vzdelávanie'!$AE$51</f>
        <v>0</v>
      </c>
      <c r="H114" s="538">
        <f t="shared" ref="H114:H119" si="139">SUM(I114:K114)</f>
        <v>768648</v>
      </c>
      <c r="I114" s="539">
        <f>'[2]9. Vzdelávanie'!$AF$51</f>
        <v>768648</v>
      </c>
      <c r="J114" s="539">
        <f>'[2]9. Vzdelávanie'!$AG$51</f>
        <v>0</v>
      </c>
      <c r="K114" s="540">
        <f>'[2]9. Vzdelávanie'!$AH$51</f>
        <v>0</v>
      </c>
      <c r="L114" s="258">
        <f t="shared" ref="L114:L119" si="140">SUM(M114:O114)</f>
        <v>774984</v>
      </c>
      <c r="M114" s="257">
        <f>'[3]9. Vzdelávanie'!$AF$65</f>
        <v>774984</v>
      </c>
      <c r="N114" s="257">
        <f>'[3]9. Vzdelávanie'!$AG$65</f>
        <v>0</v>
      </c>
      <c r="O114" s="342">
        <f>'[3]9. Vzdelávanie'!$AH$65</f>
        <v>0</v>
      </c>
      <c r="P114" s="538">
        <f t="shared" ref="P114:P119" si="141">SUM(Q114:S114)</f>
        <v>774983.23</v>
      </c>
      <c r="Q114" s="539">
        <f>'[3]9. Vzdelávanie'!$AI$65</f>
        <v>774983.23</v>
      </c>
      <c r="R114" s="539">
        <f>'[3]9. Vzdelávanie'!$AJ$65</f>
        <v>0</v>
      </c>
      <c r="S114" s="540">
        <f>'[3]9. Vzdelávanie'!$AK$65</f>
        <v>0</v>
      </c>
    </row>
    <row r="115" spans="1:19" ht="15.75" x14ac:dyDescent="0.25">
      <c r="A115" s="124"/>
      <c r="B115" s="269">
        <v>2</v>
      </c>
      <c r="C115" s="270" t="s">
        <v>289</v>
      </c>
      <c r="D115" s="538">
        <f t="shared" si="138"/>
        <v>302040</v>
      </c>
      <c r="E115" s="539">
        <f>'[1]9. Vzdelávanie'!$AC$52</f>
        <v>302040</v>
      </c>
      <c r="F115" s="539">
        <f>'[1]9. Vzdelávanie'!$AD$52</f>
        <v>0</v>
      </c>
      <c r="G115" s="540">
        <f>'[1]9. Vzdelávanie'!$AE$52</f>
        <v>0</v>
      </c>
      <c r="H115" s="538">
        <f t="shared" si="139"/>
        <v>320425</v>
      </c>
      <c r="I115" s="539">
        <f>'[2]9. Vzdelávanie'!$AF$52</f>
        <v>320425</v>
      </c>
      <c r="J115" s="539">
        <f>'[2]9. Vzdelávanie'!$AG$52</f>
        <v>0</v>
      </c>
      <c r="K115" s="540">
        <f>'[2]9. Vzdelávanie'!$AH$52</f>
        <v>0</v>
      </c>
      <c r="L115" s="258">
        <f t="shared" si="140"/>
        <v>279214</v>
      </c>
      <c r="M115" s="257">
        <f>'[3]9. Vzdelávanie'!$AF$66</f>
        <v>279214</v>
      </c>
      <c r="N115" s="257">
        <f>'[3]9. Vzdelávanie'!$AG$66</f>
        <v>0</v>
      </c>
      <c r="O115" s="342">
        <f>'[3]9. Vzdelávanie'!$AH$66</f>
        <v>0</v>
      </c>
      <c r="P115" s="538">
        <f t="shared" si="141"/>
        <v>279213.32</v>
      </c>
      <c r="Q115" s="539">
        <f>'[3]9. Vzdelávanie'!$AI$66</f>
        <v>279213.32</v>
      </c>
      <c r="R115" s="539">
        <f>'[3]9. Vzdelávanie'!$AJ$66</f>
        <v>0</v>
      </c>
      <c r="S115" s="540">
        <f>'[3]9. Vzdelávanie'!$AK$66</f>
        <v>0</v>
      </c>
    </row>
    <row r="116" spans="1:19" ht="15.75" x14ac:dyDescent="0.25">
      <c r="A116" s="124"/>
      <c r="B116" s="281" t="s">
        <v>290</v>
      </c>
      <c r="C116" s="270" t="s">
        <v>291</v>
      </c>
      <c r="D116" s="538">
        <f t="shared" si="138"/>
        <v>747932.31</v>
      </c>
      <c r="E116" s="539">
        <f>'[1]9. Vzdelávanie'!$AC$53</f>
        <v>747932.31</v>
      </c>
      <c r="F116" s="539">
        <f>'[1]9. Vzdelávanie'!$AD$53</f>
        <v>0</v>
      </c>
      <c r="G116" s="540">
        <f>'[1]9. Vzdelávanie'!$AE$53</f>
        <v>0</v>
      </c>
      <c r="H116" s="538">
        <f t="shared" si="139"/>
        <v>1093914.28</v>
      </c>
      <c r="I116" s="539">
        <f>'[2]9. Vzdelávanie'!$AF$53</f>
        <v>1093914.28</v>
      </c>
      <c r="J116" s="539">
        <f>'[2]9. Vzdelávanie'!$AG$53</f>
        <v>0</v>
      </c>
      <c r="K116" s="540">
        <f>'[2]9. Vzdelávanie'!$AH$53</f>
        <v>0</v>
      </c>
      <c r="L116" s="258">
        <f t="shared" si="140"/>
        <v>1418649</v>
      </c>
      <c r="M116" s="257">
        <f>'[3]9. Vzdelávanie'!$AF$67</f>
        <v>1418649</v>
      </c>
      <c r="N116" s="257">
        <f>'[3]9. Vzdelávanie'!$AG$67</f>
        <v>0</v>
      </c>
      <c r="O116" s="342">
        <f>'[3]9. Vzdelávanie'!$AH$67</f>
        <v>0</v>
      </c>
      <c r="P116" s="538">
        <f t="shared" si="141"/>
        <v>1250601.54</v>
      </c>
      <c r="Q116" s="539">
        <f>'[3]9. Vzdelávanie'!$AI$67</f>
        <v>1250601.54</v>
      </c>
      <c r="R116" s="539">
        <f>'[3]9. Vzdelávanie'!$AJ$67</f>
        <v>0</v>
      </c>
      <c r="S116" s="540">
        <f>'[3]9. Vzdelávanie'!$AK$67</f>
        <v>0</v>
      </c>
    </row>
    <row r="117" spans="1:19" ht="15.75" x14ac:dyDescent="0.25">
      <c r="A117" s="124"/>
      <c r="B117" s="281" t="s">
        <v>292</v>
      </c>
      <c r="C117" s="270" t="s">
        <v>293</v>
      </c>
      <c r="D117" s="538">
        <f t="shared" si="138"/>
        <v>910419.25</v>
      </c>
      <c r="E117" s="539">
        <f>'[1]9. Vzdelávanie'!$AC$74</f>
        <v>859677.33</v>
      </c>
      <c r="F117" s="539">
        <f>'[1]9. Vzdelávanie'!$AD$74</f>
        <v>50741.919999999998</v>
      </c>
      <c r="G117" s="540">
        <f>'[1]9. Vzdelávanie'!$AE$74</f>
        <v>0</v>
      </c>
      <c r="H117" s="538">
        <f t="shared" si="139"/>
        <v>1050115.76</v>
      </c>
      <c r="I117" s="539">
        <f>'[2]9. Vzdelávanie'!$AF$77</f>
        <v>1017683.24</v>
      </c>
      <c r="J117" s="539">
        <f>'[2]9. Vzdelávanie'!$AG$77</f>
        <v>32432.52</v>
      </c>
      <c r="K117" s="540">
        <f>'[2]9. Vzdelávanie'!$AH$77</f>
        <v>0</v>
      </c>
      <c r="L117" s="258">
        <f t="shared" si="140"/>
        <v>1010306</v>
      </c>
      <c r="M117" s="257">
        <f>'[3]9. Vzdelávanie'!$AF$91</f>
        <v>990163</v>
      </c>
      <c r="N117" s="257">
        <f>'[3]9. Vzdelávanie'!$AG$91</f>
        <v>20143</v>
      </c>
      <c r="O117" s="342">
        <f>'[3]9. Vzdelávanie'!$AH$91</f>
        <v>0</v>
      </c>
      <c r="P117" s="538">
        <f t="shared" si="141"/>
        <v>850994.06</v>
      </c>
      <c r="Q117" s="539">
        <f>'[3]9. Vzdelávanie'!$AI$91</f>
        <v>830853.42</v>
      </c>
      <c r="R117" s="539">
        <f>'[3]9. Vzdelávanie'!$AJ$91</f>
        <v>20140.639999999996</v>
      </c>
      <c r="S117" s="540">
        <f>'[3]9. Vzdelávanie'!$AK$91</f>
        <v>0</v>
      </c>
    </row>
    <row r="118" spans="1:19" ht="15.75" x14ac:dyDescent="0.25">
      <c r="A118" s="124"/>
      <c r="B118" s="368" t="s">
        <v>294</v>
      </c>
      <c r="C118" s="369" t="s">
        <v>412</v>
      </c>
      <c r="D118" s="538">
        <f t="shared" si="138"/>
        <v>22146.02</v>
      </c>
      <c r="E118" s="539">
        <f>'[1]9. Vzdelávanie'!$AC$75</f>
        <v>22146.02</v>
      </c>
      <c r="F118" s="539">
        <f>'[1]9. Vzdelávanie'!$AD$75</f>
        <v>0</v>
      </c>
      <c r="G118" s="540">
        <f>'[1]9. Vzdelávanie'!$AE$75</f>
        <v>0</v>
      </c>
      <c r="H118" s="538">
        <f t="shared" si="139"/>
        <v>74647.3</v>
      </c>
      <c r="I118" s="539">
        <f>'[2]9. Vzdelávanie'!$AF$78</f>
        <v>74647.3</v>
      </c>
      <c r="J118" s="539">
        <f>'[2]9. Vzdelávanie'!$AG$78</f>
        <v>0</v>
      </c>
      <c r="K118" s="540">
        <f>'[2]9. Vzdelávanie'!$AH$78</f>
        <v>0</v>
      </c>
      <c r="L118" s="258">
        <f t="shared" si="140"/>
        <v>573648</v>
      </c>
      <c r="M118" s="257">
        <f>'[3]9. Vzdelávanie'!$AF$92</f>
        <v>552649</v>
      </c>
      <c r="N118" s="257">
        <f>'[3]9. Vzdelávanie'!$AG$92</f>
        <v>20999</v>
      </c>
      <c r="O118" s="342">
        <f>'[3]9. Vzdelávanie'!$AH$92</f>
        <v>0</v>
      </c>
      <c r="P118" s="538">
        <f t="shared" si="141"/>
        <v>78743</v>
      </c>
      <c r="Q118" s="539">
        <f>'[3]9. Vzdelávanie'!$AI$92</f>
        <v>78743</v>
      </c>
      <c r="R118" s="539">
        <f>'[3]9. Vzdelávanie'!$AJ$92</f>
        <v>0</v>
      </c>
      <c r="S118" s="540">
        <f>'[3]9. Vzdelávanie'!$AK$92</f>
        <v>0</v>
      </c>
    </row>
    <row r="119" spans="1:19" ht="16.5" thickBot="1" x14ac:dyDescent="0.3">
      <c r="A119" s="124"/>
      <c r="B119" s="367" t="s">
        <v>459</v>
      </c>
      <c r="C119" s="349" t="s">
        <v>460</v>
      </c>
      <c r="D119" s="541">
        <f t="shared" si="138"/>
        <v>878363.11</v>
      </c>
      <c r="E119" s="542">
        <f>'[1]9. Vzdelávanie'!$AC$82</f>
        <v>878363.11</v>
      </c>
      <c r="F119" s="542">
        <f>'[1]9. Vzdelávanie'!$AD$82</f>
        <v>0</v>
      </c>
      <c r="G119" s="543">
        <f>'[1]9. Vzdelávanie'!$AE$82</f>
        <v>0</v>
      </c>
      <c r="H119" s="541">
        <f t="shared" si="139"/>
        <v>1026463.3200000001</v>
      </c>
      <c r="I119" s="542">
        <f>'[2]9. Vzdelávanie'!$AF$85</f>
        <v>1026463.3200000001</v>
      </c>
      <c r="J119" s="542">
        <f>'[2]9. Vzdelávanie'!$AG$85</f>
        <v>0</v>
      </c>
      <c r="K119" s="543">
        <f>'[2]9. Vzdelávanie'!$AH$85</f>
        <v>0</v>
      </c>
      <c r="L119" s="265">
        <f t="shared" si="140"/>
        <v>1303792</v>
      </c>
      <c r="M119" s="266">
        <f>'[3]9. Vzdelávanie'!$AF$99</f>
        <v>1303792</v>
      </c>
      <c r="N119" s="266">
        <f>'[3]9. Vzdelávanie'!$AG$99</f>
        <v>0</v>
      </c>
      <c r="O119" s="620">
        <f>'[3]9. Vzdelávanie'!$AH$99</f>
        <v>0</v>
      </c>
      <c r="P119" s="541">
        <f t="shared" si="141"/>
        <v>1050140.8799999999</v>
      </c>
      <c r="Q119" s="542">
        <f>'[3]9. Vzdelávanie'!$AI$99</f>
        <v>1050140.8799999999</v>
      </c>
      <c r="R119" s="542">
        <f>'[3]9. Vzdelávanie'!$AJ$99</f>
        <v>0</v>
      </c>
      <c r="S119" s="543">
        <f>'[3]9. Vzdelávanie'!$AK$99</f>
        <v>0</v>
      </c>
    </row>
    <row r="120" spans="1:19" s="123" customFormat="1" ht="15.75" x14ac:dyDescent="0.25">
      <c r="A120" s="125"/>
      <c r="B120" s="273" t="s">
        <v>296</v>
      </c>
      <c r="C120" s="280"/>
      <c r="D120" s="535">
        <f t="shared" ref="D120:G120" si="142">D121+D122+D130</f>
        <v>524716.74</v>
      </c>
      <c r="E120" s="536">
        <f t="shared" si="142"/>
        <v>446711.74000000005</v>
      </c>
      <c r="F120" s="536">
        <f t="shared" si="142"/>
        <v>78005</v>
      </c>
      <c r="G120" s="537">
        <f t="shared" si="142"/>
        <v>0</v>
      </c>
      <c r="H120" s="535">
        <f t="shared" ref="H120:K120" si="143">H121+H122+H130</f>
        <v>363925.54999999993</v>
      </c>
      <c r="I120" s="536">
        <f t="shared" si="143"/>
        <v>363925.54999999993</v>
      </c>
      <c r="J120" s="536">
        <f>J121+J122+J130</f>
        <v>0</v>
      </c>
      <c r="K120" s="537">
        <f t="shared" si="143"/>
        <v>0</v>
      </c>
      <c r="L120" s="263">
        <f t="shared" ref="L120:O120" si="144">L121+L122+L130</f>
        <v>482643</v>
      </c>
      <c r="M120" s="264">
        <f t="shared" si="144"/>
        <v>482643</v>
      </c>
      <c r="N120" s="264">
        <f t="shared" si="144"/>
        <v>0</v>
      </c>
      <c r="O120" s="341">
        <f t="shared" si="144"/>
        <v>0</v>
      </c>
      <c r="P120" s="535">
        <f t="shared" ref="P120:S120" si="145">P121+P122+P130</f>
        <v>404867.61</v>
      </c>
      <c r="Q120" s="536">
        <f t="shared" si="145"/>
        <v>404867.61</v>
      </c>
      <c r="R120" s="536">
        <f t="shared" si="145"/>
        <v>0</v>
      </c>
      <c r="S120" s="537">
        <f t="shared" si="145"/>
        <v>0</v>
      </c>
    </row>
    <row r="121" spans="1:19" ht="15.75" x14ac:dyDescent="0.25">
      <c r="B121" s="281" t="s">
        <v>297</v>
      </c>
      <c r="C121" s="270" t="s">
        <v>298</v>
      </c>
      <c r="D121" s="538">
        <f>SUM(E121:G121)</f>
        <v>2461.89</v>
      </c>
      <c r="E121" s="539">
        <f>'[1]10. Šport'!$AC$4</f>
        <v>2461.89</v>
      </c>
      <c r="F121" s="539">
        <f>'[1]10. Šport'!$AD$4</f>
        <v>0</v>
      </c>
      <c r="G121" s="540">
        <f>'[1]10. Šport'!$AE$4</f>
        <v>0</v>
      </c>
      <c r="H121" s="538">
        <f>SUM(I121:K121)</f>
        <v>2001.37</v>
      </c>
      <c r="I121" s="539">
        <f>'[2]10. Šport'!$AF$4</f>
        <v>2001.37</v>
      </c>
      <c r="J121" s="539">
        <f>'[2]10. Šport'!$AG$4</f>
        <v>0</v>
      </c>
      <c r="K121" s="540">
        <f>'[2]10. Šport'!$AH$4</f>
        <v>0</v>
      </c>
      <c r="L121" s="258">
        <f>SUM(M121:O121)</f>
        <v>5000</v>
      </c>
      <c r="M121" s="257">
        <f>'[3]10. Šport'!$AF$4</f>
        <v>5000</v>
      </c>
      <c r="N121" s="257">
        <f>'[3]10. Šport'!$AG$4</f>
        <v>0</v>
      </c>
      <c r="O121" s="342">
        <f>'[3]10. Šport'!$AH$4</f>
        <v>0</v>
      </c>
      <c r="P121" s="538">
        <f>SUM(Q121:S121)</f>
        <v>3530.69</v>
      </c>
      <c r="Q121" s="539">
        <f>'[3]10. Šport'!$AI$4</f>
        <v>3530.69</v>
      </c>
      <c r="R121" s="539">
        <f>'[3]10. Šport'!$AJ$4</f>
        <v>0</v>
      </c>
      <c r="S121" s="540">
        <f>'[3]10. Šport'!$AK$4</f>
        <v>0</v>
      </c>
    </row>
    <row r="122" spans="1:19" ht="15.75" x14ac:dyDescent="0.25">
      <c r="B122" s="281" t="s">
        <v>299</v>
      </c>
      <c r="C122" s="270" t="s">
        <v>300</v>
      </c>
      <c r="D122" s="538">
        <f t="shared" ref="D122:G122" si="146">SUM(D123:D129)</f>
        <v>512296.4</v>
      </c>
      <c r="E122" s="539">
        <f t="shared" si="146"/>
        <v>434291.4</v>
      </c>
      <c r="F122" s="539">
        <f t="shared" si="146"/>
        <v>78005</v>
      </c>
      <c r="G122" s="540">
        <f t="shared" si="146"/>
        <v>0</v>
      </c>
      <c r="H122" s="538">
        <f t="shared" ref="H122:K122" si="147">SUM(H123:H129)</f>
        <v>359124.17999999993</v>
      </c>
      <c r="I122" s="539">
        <f t="shared" si="147"/>
        <v>359124.17999999993</v>
      </c>
      <c r="J122" s="539">
        <f t="shared" si="147"/>
        <v>0</v>
      </c>
      <c r="K122" s="540">
        <f t="shared" si="147"/>
        <v>0</v>
      </c>
      <c r="L122" s="258">
        <f t="shared" ref="L122:O122" si="148">SUM(L123:L129)</f>
        <v>472643</v>
      </c>
      <c r="M122" s="257">
        <f t="shared" si="148"/>
        <v>472643</v>
      </c>
      <c r="N122" s="257">
        <f t="shared" si="148"/>
        <v>0</v>
      </c>
      <c r="O122" s="342">
        <f t="shared" si="148"/>
        <v>0</v>
      </c>
      <c r="P122" s="538">
        <f t="shared" ref="P122:S122" si="149">SUM(P123:P129)</f>
        <v>396336.92</v>
      </c>
      <c r="Q122" s="539">
        <f t="shared" si="149"/>
        <v>396336.92</v>
      </c>
      <c r="R122" s="539">
        <f t="shared" si="149"/>
        <v>0</v>
      </c>
      <c r="S122" s="540">
        <f t="shared" si="149"/>
        <v>0</v>
      </c>
    </row>
    <row r="123" spans="1:19" ht="15.75" x14ac:dyDescent="0.25">
      <c r="B123" s="269">
        <v>1</v>
      </c>
      <c r="C123" s="270" t="s">
        <v>301</v>
      </c>
      <c r="D123" s="538">
        <f>SUM(E123:G123)</f>
        <v>61795.549999999996</v>
      </c>
      <c r="E123" s="539">
        <f>'[1]10. Šport'!$AC$12</f>
        <v>61795.549999999996</v>
      </c>
      <c r="F123" s="539">
        <f>'[1]10. Šport'!$AD$12</f>
        <v>0</v>
      </c>
      <c r="G123" s="540">
        <f>'[1]10. Šport'!$AE$12</f>
        <v>0</v>
      </c>
      <c r="H123" s="538">
        <f>SUM(I123:K123)</f>
        <v>40944.58</v>
      </c>
      <c r="I123" s="539">
        <f>'[2]10. Šport'!$AF$12</f>
        <v>40944.58</v>
      </c>
      <c r="J123" s="539">
        <f>'[2]10. Šport'!$AG$12</f>
        <v>0</v>
      </c>
      <c r="K123" s="540">
        <f>'[2]10. Šport'!$AH$12</f>
        <v>0</v>
      </c>
      <c r="L123" s="258">
        <f>SUM(M123:O123)</f>
        <v>86576</v>
      </c>
      <c r="M123" s="257">
        <f>'[3]10. Šport'!$AF$12</f>
        <v>86576</v>
      </c>
      <c r="N123" s="257">
        <f>'[3]10. Šport'!$AG$12</f>
        <v>0</v>
      </c>
      <c r="O123" s="342">
        <f>'[3]10. Šport'!$AH$12</f>
        <v>0</v>
      </c>
      <c r="P123" s="538">
        <f>SUM(Q123:S123)</f>
        <v>63820.610000000008</v>
      </c>
      <c r="Q123" s="539">
        <f>'[3]10. Šport'!$AI$12</f>
        <v>63820.610000000008</v>
      </c>
      <c r="R123" s="539">
        <f>'[3]10. Šport'!$AJ$12</f>
        <v>0</v>
      </c>
      <c r="S123" s="540">
        <f>'[3]10. Šport'!$AK$12</f>
        <v>0</v>
      </c>
    </row>
    <row r="124" spans="1:19" ht="15.75" x14ac:dyDescent="0.25">
      <c r="B124" s="269">
        <v>2</v>
      </c>
      <c r="C124" s="270" t="s">
        <v>302</v>
      </c>
      <c r="D124" s="538">
        <f t="shared" ref="D124:D130" si="150">SUM(E124:G124)</f>
        <v>79820.62000000001</v>
      </c>
      <c r="E124" s="539">
        <f>'[1]10. Šport'!$AC$32</f>
        <v>79820.62000000001</v>
      </c>
      <c r="F124" s="539">
        <f>'[1]10. Šport'!$AD$32</f>
        <v>0</v>
      </c>
      <c r="G124" s="540">
        <f>'[1]10. Šport'!$AE$32</f>
        <v>0</v>
      </c>
      <c r="H124" s="538">
        <f t="shared" ref="H124:H130" si="151">SUM(I124:K124)</f>
        <v>73615.34</v>
      </c>
      <c r="I124" s="539">
        <f>'[2]10. Šport'!$AF$32</f>
        <v>73615.34</v>
      </c>
      <c r="J124" s="539">
        <f>'[2]10. Šport'!$AG$32</f>
        <v>0</v>
      </c>
      <c r="K124" s="540">
        <f>'[2]10. Šport'!$AH$32</f>
        <v>0</v>
      </c>
      <c r="L124" s="258">
        <f t="shared" ref="L124:L130" si="152">SUM(M124:O124)</f>
        <v>80217</v>
      </c>
      <c r="M124" s="257">
        <f>'[3]10. Šport'!$AF$32</f>
        <v>80217</v>
      </c>
      <c r="N124" s="257">
        <f>'[3]10. Šport'!$AG$32</f>
        <v>0</v>
      </c>
      <c r="O124" s="342">
        <f>'[3]10. Šport'!$AH$32</f>
        <v>0</v>
      </c>
      <c r="P124" s="538">
        <f t="shared" ref="P124:P130" si="153">SUM(Q124:S124)</f>
        <v>67164.659999999989</v>
      </c>
      <c r="Q124" s="539">
        <f>'[3]10. Šport'!$AI$32</f>
        <v>67164.659999999989</v>
      </c>
      <c r="R124" s="539">
        <f>'[3]10. Šport'!$AJ$32</f>
        <v>0</v>
      </c>
      <c r="S124" s="540">
        <f>'[3]10. Šport'!$AK$32</f>
        <v>0</v>
      </c>
    </row>
    <row r="125" spans="1:19" ht="15.75" x14ac:dyDescent="0.25">
      <c r="B125" s="269">
        <v>3</v>
      </c>
      <c r="C125" s="270" t="s">
        <v>303</v>
      </c>
      <c r="D125" s="538">
        <f t="shared" si="150"/>
        <v>37659.86</v>
      </c>
      <c r="E125" s="539">
        <f>'[1]10. Šport'!$AC$52</f>
        <v>37659.86</v>
      </c>
      <c r="F125" s="539">
        <f>'[1]10. Šport'!$AD$52</f>
        <v>0</v>
      </c>
      <c r="G125" s="540">
        <f>'[1]10. Šport'!$AE$52</f>
        <v>0</v>
      </c>
      <c r="H125" s="538">
        <f t="shared" si="151"/>
        <v>22006.25</v>
      </c>
      <c r="I125" s="539">
        <f>'[2]10. Šport'!$AF$54</f>
        <v>22006.25</v>
      </c>
      <c r="J125" s="539">
        <f>'[2]10. Šport'!$AG$54</f>
        <v>0</v>
      </c>
      <c r="K125" s="540">
        <f>'[2]10. Šport'!$AH$54</f>
        <v>0</v>
      </c>
      <c r="L125" s="258">
        <f t="shared" si="152"/>
        <v>33450</v>
      </c>
      <c r="M125" s="257">
        <f>'[3]10. Šport'!$AF$54</f>
        <v>33450</v>
      </c>
      <c r="N125" s="257">
        <f>'[3]10. Šport'!$AG$54</f>
        <v>0</v>
      </c>
      <c r="O125" s="342">
        <f>'[3]10. Šport'!$AH$54</f>
        <v>0</v>
      </c>
      <c r="P125" s="538">
        <f t="shared" si="153"/>
        <v>28205.27</v>
      </c>
      <c r="Q125" s="539">
        <f>'[3]10. Šport'!$AI$54</f>
        <v>28205.27</v>
      </c>
      <c r="R125" s="539">
        <f>'[3]10. Šport'!$AJ$54</f>
        <v>0</v>
      </c>
      <c r="S125" s="540">
        <f>'[3]10. Šport'!$AK$54</f>
        <v>0</v>
      </c>
    </row>
    <row r="126" spans="1:19" ht="15.75" x14ac:dyDescent="0.25">
      <c r="B126" s="269">
        <v>4</v>
      </c>
      <c r="C126" s="270" t="s">
        <v>304</v>
      </c>
      <c r="D126" s="538">
        <f t="shared" si="150"/>
        <v>215029.52000000002</v>
      </c>
      <c r="E126" s="539">
        <f>'[1]10. Šport'!$AC$64</f>
        <v>215029.52000000002</v>
      </c>
      <c r="F126" s="539">
        <f>'[1]10. Šport'!$AD$64</f>
        <v>0</v>
      </c>
      <c r="G126" s="540">
        <f>'[1]10. Šport'!$AE$64</f>
        <v>0</v>
      </c>
      <c r="H126" s="538">
        <f t="shared" si="151"/>
        <v>189436.77</v>
      </c>
      <c r="I126" s="539">
        <f>'[2]10. Šport'!$AF$66</f>
        <v>189436.77</v>
      </c>
      <c r="J126" s="539">
        <f>'[2]10. Šport'!$AG$66</f>
        <v>0</v>
      </c>
      <c r="K126" s="540">
        <f>'[2]10. Šport'!$AH$66</f>
        <v>0</v>
      </c>
      <c r="L126" s="258">
        <f t="shared" si="152"/>
        <v>237700</v>
      </c>
      <c r="M126" s="257">
        <f>'[3]10. Šport'!$AF$66</f>
        <v>237700</v>
      </c>
      <c r="N126" s="257">
        <f>'[3]10. Šport'!$AG$66</f>
        <v>0</v>
      </c>
      <c r="O126" s="342">
        <f>'[3]10. Šport'!$AH$66</f>
        <v>0</v>
      </c>
      <c r="P126" s="538">
        <f t="shared" si="153"/>
        <v>209468.91999999998</v>
      </c>
      <c r="Q126" s="539">
        <f>'[3]10. Šport'!$AI$66</f>
        <v>209468.91999999998</v>
      </c>
      <c r="R126" s="539">
        <f>'[3]10. Šport'!$AJ$66</f>
        <v>0</v>
      </c>
      <c r="S126" s="540">
        <f>'[3]10. Šport'!$AK$66</f>
        <v>0</v>
      </c>
    </row>
    <row r="127" spans="1:19" ht="15.75" x14ac:dyDescent="0.25">
      <c r="B127" s="269">
        <v>5</v>
      </c>
      <c r="C127" s="270" t="s">
        <v>305</v>
      </c>
      <c r="D127" s="538">
        <f t="shared" si="150"/>
        <v>9107.81</v>
      </c>
      <c r="E127" s="539">
        <f>'[1]10. Šport'!$AC$85</f>
        <v>9107.81</v>
      </c>
      <c r="F127" s="539">
        <f>'[1]10. Šport'!$AD$85</f>
        <v>0</v>
      </c>
      <c r="G127" s="540">
        <f>'[1]10. Šport'!$AE$85</f>
        <v>0</v>
      </c>
      <c r="H127" s="538">
        <f t="shared" si="151"/>
        <v>8843.67</v>
      </c>
      <c r="I127" s="539">
        <f>'[2]10. Šport'!$AF$87</f>
        <v>8843.67</v>
      </c>
      <c r="J127" s="539">
        <f>'[2]10. Šport'!$AG$87</f>
        <v>0</v>
      </c>
      <c r="K127" s="540">
        <f>'[2]10. Šport'!$AH$87</f>
        <v>0</v>
      </c>
      <c r="L127" s="258">
        <f t="shared" si="152"/>
        <v>13350</v>
      </c>
      <c r="M127" s="257">
        <f>'[3]10. Šport'!$AF$89</f>
        <v>13350</v>
      </c>
      <c r="N127" s="257">
        <f>'[3]10. Šport'!$AG$89</f>
        <v>0</v>
      </c>
      <c r="O127" s="342">
        <f>'[3]10. Šport'!$AH$89</f>
        <v>0</v>
      </c>
      <c r="P127" s="538">
        <f t="shared" si="153"/>
        <v>10013.09</v>
      </c>
      <c r="Q127" s="539">
        <f>'[3]10. Šport'!$AI$89</f>
        <v>10013.09</v>
      </c>
      <c r="R127" s="539">
        <f>'[3]10. Šport'!$AJ$89</f>
        <v>0</v>
      </c>
      <c r="S127" s="540">
        <f>'[3]10. Šport'!$AK$89</f>
        <v>0</v>
      </c>
    </row>
    <row r="128" spans="1:19" ht="15.75" x14ac:dyDescent="0.25">
      <c r="B128" s="285">
        <v>6</v>
      </c>
      <c r="C128" s="286" t="s">
        <v>386</v>
      </c>
      <c r="D128" s="538">
        <f t="shared" si="150"/>
        <v>78717.259999999995</v>
      </c>
      <c r="E128" s="539">
        <f>'[1]10. Šport'!$AC$93</f>
        <v>712.26</v>
      </c>
      <c r="F128" s="539">
        <f>'[1]10. Šport'!$AD$93</f>
        <v>78005</v>
      </c>
      <c r="G128" s="540">
        <f>'[1]10. Šport'!$AE$93</f>
        <v>0</v>
      </c>
      <c r="H128" s="538">
        <f t="shared" si="151"/>
        <v>110</v>
      </c>
      <c r="I128" s="539">
        <f>'[2]10. Šport'!$AF$95</f>
        <v>110</v>
      </c>
      <c r="J128" s="539">
        <f>'[2]10. Šport'!$AG$95</f>
        <v>0</v>
      </c>
      <c r="K128" s="540">
        <f>'[2]10. Šport'!$AH$95</f>
        <v>0</v>
      </c>
      <c r="L128" s="258">
        <f t="shared" si="152"/>
        <v>1000</v>
      </c>
      <c r="M128" s="257">
        <f>'[3]10. Šport'!$AF$97</f>
        <v>1000</v>
      </c>
      <c r="N128" s="257">
        <f>'[3]10. Šport'!$AG$97</f>
        <v>0</v>
      </c>
      <c r="O128" s="342">
        <f>'[3]10. Šport'!$AH$97</f>
        <v>0</v>
      </c>
      <c r="P128" s="538">
        <f t="shared" si="153"/>
        <v>570.21</v>
      </c>
      <c r="Q128" s="539">
        <f>'[3]10. Šport'!$AI$97</f>
        <v>570.21</v>
      </c>
      <c r="R128" s="539">
        <f>'[3]10. Šport'!$AJ$97</f>
        <v>0</v>
      </c>
      <c r="S128" s="540">
        <f>'[3]10. Šport'!$AK$97</f>
        <v>0</v>
      </c>
    </row>
    <row r="129" spans="2:19" ht="15.75" x14ac:dyDescent="0.25">
      <c r="B129" s="285">
        <v>7</v>
      </c>
      <c r="C129" s="286" t="s">
        <v>456</v>
      </c>
      <c r="D129" s="538">
        <f t="shared" si="150"/>
        <v>30165.78</v>
      </c>
      <c r="E129" s="539">
        <f>'[1]10. Šport'!$AC$99</f>
        <v>30165.78</v>
      </c>
      <c r="F129" s="539">
        <f>'[1]10. Šport'!$AD$99</f>
        <v>0</v>
      </c>
      <c r="G129" s="540">
        <f>'[1]10. Šport'!$AE$99</f>
        <v>0</v>
      </c>
      <c r="H129" s="538">
        <f t="shared" si="151"/>
        <v>24167.57</v>
      </c>
      <c r="I129" s="539">
        <f>'[2]10. Šport'!$AF$101</f>
        <v>24167.57</v>
      </c>
      <c r="J129" s="539">
        <f>'[2]10. Šport'!$AG$101</f>
        <v>0</v>
      </c>
      <c r="K129" s="540">
        <f>'[2]10. Šport'!$AH$101</f>
        <v>0</v>
      </c>
      <c r="L129" s="258">
        <f t="shared" si="152"/>
        <v>20350</v>
      </c>
      <c r="M129" s="257">
        <f>'[3]10. Šport'!$AF$103</f>
        <v>20350</v>
      </c>
      <c r="N129" s="257">
        <f>'[3]10. Šport'!$AG$103</f>
        <v>0</v>
      </c>
      <c r="O129" s="342">
        <f>'[3]10. Šport'!$AH$103</f>
        <v>0</v>
      </c>
      <c r="P129" s="538">
        <f t="shared" si="153"/>
        <v>17094.16</v>
      </c>
      <c r="Q129" s="539">
        <f>'[3]10. Šport'!$AI$103</f>
        <v>17094.16</v>
      </c>
      <c r="R129" s="539">
        <f>'[3]10. Šport'!$AJ$103</f>
        <v>0</v>
      </c>
      <c r="S129" s="540">
        <f>'[3]10. Šport'!$AK$103</f>
        <v>0</v>
      </c>
    </row>
    <row r="130" spans="2:19" ht="16.5" thickBot="1" x14ac:dyDescent="0.3">
      <c r="B130" s="276" t="s">
        <v>306</v>
      </c>
      <c r="C130" s="272" t="s">
        <v>307</v>
      </c>
      <c r="D130" s="541">
        <f t="shared" si="150"/>
        <v>9958.4500000000007</v>
      </c>
      <c r="E130" s="542">
        <f>'[1]10. Šport'!$AC$107</f>
        <v>9958.4500000000007</v>
      </c>
      <c r="F130" s="542">
        <f>'[1]10. Šport'!$AD$107</f>
        <v>0</v>
      </c>
      <c r="G130" s="543">
        <f>'[1]10. Šport'!$AE$107</f>
        <v>0</v>
      </c>
      <c r="H130" s="541">
        <f t="shared" si="151"/>
        <v>2800</v>
      </c>
      <c r="I130" s="542">
        <f>'[2]10. Šport'!$AF$109</f>
        <v>2800</v>
      </c>
      <c r="J130" s="542">
        <f>'[2]10. Šport'!$AG$109</f>
        <v>0</v>
      </c>
      <c r="K130" s="543">
        <f>'[2]10. Šport'!$AH$109</f>
        <v>0</v>
      </c>
      <c r="L130" s="265">
        <f t="shared" si="152"/>
        <v>5000</v>
      </c>
      <c r="M130" s="266">
        <f>'[3]10. Šport'!$AF$111</f>
        <v>5000</v>
      </c>
      <c r="N130" s="266">
        <f>'[3]10. Šport'!$AG$111</f>
        <v>0</v>
      </c>
      <c r="O130" s="620">
        <f>'[3]10. Šport'!$AH$111</f>
        <v>0</v>
      </c>
      <c r="P130" s="541">
        <f t="shared" si="153"/>
        <v>5000</v>
      </c>
      <c r="Q130" s="542">
        <f>'[3]10. Šport'!$AI$111</f>
        <v>5000</v>
      </c>
      <c r="R130" s="542">
        <f>'[3]10. Šport'!$AJ$111</f>
        <v>0</v>
      </c>
      <c r="S130" s="543">
        <f>'[3]10. Šport'!$AK$111</f>
        <v>0</v>
      </c>
    </row>
    <row r="131" spans="2:19" s="123" customFormat="1" ht="15.75" x14ac:dyDescent="0.25">
      <c r="B131" s="273" t="s">
        <v>308</v>
      </c>
      <c r="C131" s="280"/>
      <c r="D131" s="535">
        <f t="shared" ref="D131:G131" si="154">D132+D133+D138+D139</f>
        <v>1479200.99</v>
      </c>
      <c r="E131" s="536">
        <f t="shared" si="154"/>
        <v>981616.06</v>
      </c>
      <c r="F131" s="536">
        <f t="shared" si="154"/>
        <v>497584.93</v>
      </c>
      <c r="G131" s="537">
        <f t="shared" si="154"/>
        <v>0</v>
      </c>
      <c r="H131" s="535">
        <f t="shared" ref="H131:K131" si="155">H132+H133+H138+H139</f>
        <v>1460282.6399999997</v>
      </c>
      <c r="I131" s="536">
        <f t="shared" si="155"/>
        <v>962608.31999999972</v>
      </c>
      <c r="J131" s="536">
        <f t="shared" si="155"/>
        <v>497674.32</v>
      </c>
      <c r="K131" s="537">
        <f t="shared" si="155"/>
        <v>0</v>
      </c>
      <c r="L131" s="263">
        <f t="shared" ref="L131:O131" si="156">L132+L133+L138+L139</f>
        <v>1369591.4</v>
      </c>
      <c r="M131" s="264">
        <f t="shared" si="156"/>
        <v>1034695</v>
      </c>
      <c r="N131" s="264">
        <f t="shared" si="156"/>
        <v>334896.40000000002</v>
      </c>
      <c r="O131" s="341">
        <f t="shared" si="156"/>
        <v>0</v>
      </c>
      <c r="P131" s="535">
        <f t="shared" ref="P131:S131" si="157">P132+P133+P138+P139</f>
        <v>1241746.5799999998</v>
      </c>
      <c r="Q131" s="536">
        <f t="shared" si="157"/>
        <v>944746.57999999984</v>
      </c>
      <c r="R131" s="536">
        <f t="shared" si="157"/>
        <v>297000</v>
      </c>
      <c r="S131" s="537">
        <f t="shared" si="157"/>
        <v>0</v>
      </c>
    </row>
    <row r="132" spans="2:19" ht="15.75" x14ac:dyDescent="0.25">
      <c r="B132" s="281" t="s">
        <v>309</v>
      </c>
      <c r="C132" s="270" t="s">
        <v>310</v>
      </c>
      <c r="D132" s="538">
        <f>SUM(E132:G132)</f>
        <v>17824.310000000001</v>
      </c>
      <c r="E132" s="539">
        <f>'[1]11. Kultúra'!$AC$4</f>
        <v>17824.310000000001</v>
      </c>
      <c r="F132" s="539">
        <f>'[1]11. Kultúra'!$AD$4</f>
        <v>0</v>
      </c>
      <c r="G132" s="540">
        <f>'[1]11. Kultúra'!$AE$4</f>
        <v>0</v>
      </c>
      <c r="H132" s="538">
        <f>SUM(I132:K132)</f>
        <v>11073.48</v>
      </c>
      <c r="I132" s="539">
        <f>'[2]11. Kultúra'!$AF$4</f>
        <v>11073.48</v>
      </c>
      <c r="J132" s="539">
        <f>'[2]11. Kultúra'!$AG$4</f>
        <v>0</v>
      </c>
      <c r="K132" s="540">
        <f>'[2]11. Kultúra'!$AH$4</f>
        <v>0</v>
      </c>
      <c r="L132" s="258">
        <f>SUM(M132:O132)</f>
        <v>17123</v>
      </c>
      <c r="M132" s="257">
        <f>'[3]11. Kultúra'!$AF$4</f>
        <v>17123</v>
      </c>
      <c r="N132" s="257">
        <f>'[3]11. Kultúra'!$AG$4</f>
        <v>0</v>
      </c>
      <c r="O132" s="342">
        <f>'[3]11. Kultúra'!$AH$4</f>
        <v>0</v>
      </c>
      <c r="P132" s="538">
        <f>SUM(Q132:S132)</f>
        <v>14812.970000000001</v>
      </c>
      <c r="Q132" s="539">
        <f>'[3]11. Kultúra'!$AI$4</f>
        <v>14812.970000000001</v>
      </c>
      <c r="R132" s="539">
        <f>'[3]11. Kultúra'!$AJ$4</f>
        <v>0</v>
      </c>
      <c r="S132" s="540">
        <f>'[3]11. Kultúra'!$AK$4</f>
        <v>0</v>
      </c>
    </row>
    <row r="133" spans="2:19" ht="15.75" x14ac:dyDescent="0.25">
      <c r="B133" s="281" t="s">
        <v>311</v>
      </c>
      <c r="C133" s="270" t="s">
        <v>312</v>
      </c>
      <c r="D133" s="538">
        <f t="shared" ref="D133:G133" si="158">SUM(D134:D137)</f>
        <v>1451275.38</v>
      </c>
      <c r="E133" s="539">
        <f t="shared" si="158"/>
        <v>953690.45</v>
      </c>
      <c r="F133" s="539">
        <f t="shared" si="158"/>
        <v>497584.93</v>
      </c>
      <c r="G133" s="540">
        <f t="shared" si="158"/>
        <v>0</v>
      </c>
      <c r="H133" s="538">
        <f t="shared" ref="H133:K133" si="159">SUM(H134:H137)</f>
        <v>1446409.1599999997</v>
      </c>
      <c r="I133" s="539">
        <f t="shared" si="159"/>
        <v>948734.83999999973</v>
      </c>
      <c r="J133" s="539">
        <f t="shared" si="159"/>
        <v>497674.32</v>
      </c>
      <c r="K133" s="540">
        <f t="shared" si="159"/>
        <v>0</v>
      </c>
      <c r="L133" s="258">
        <f t="shared" ref="L133:O133" si="160">SUM(L134:L137)</f>
        <v>1347468.4</v>
      </c>
      <c r="M133" s="257">
        <f t="shared" si="160"/>
        <v>1012572</v>
      </c>
      <c r="N133" s="257">
        <f t="shared" si="160"/>
        <v>334896.40000000002</v>
      </c>
      <c r="O133" s="342">
        <f t="shared" si="160"/>
        <v>0</v>
      </c>
      <c r="P133" s="538">
        <f t="shared" ref="P133:S133" si="161">SUM(P134:P137)</f>
        <v>1221933.6099999999</v>
      </c>
      <c r="Q133" s="539">
        <f t="shared" si="161"/>
        <v>924933.60999999987</v>
      </c>
      <c r="R133" s="539">
        <f t="shared" si="161"/>
        <v>297000</v>
      </c>
      <c r="S133" s="540">
        <f t="shared" si="161"/>
        <v>0</v>
      </c>
    </row>
    <row r="134" spans="2:19" ht="15.75" x14ac:dyDescent="0.25">
      <c r="B134" s="269">
        <v>1</v>
      </c>
      <c r="C134" s="270" t="s">
        <v>313</v>
      </c>
      <c r="D134" s="538">
        <f t="shared" ref="D134:D139" si="162">SUM(E134:G134)</f>
        <v>192849.67</v>
      </c>
      <c r="E134" s="539">
        <f>'[1]11. Kultúra'!$AC$20</f>
        <v>192849.67</v>
      </c>
      <c r="F134" s="539">
        <f>'[1]11. Kultúra'!$AD$20</f>
        <v>0</v>
      </c>
      <c r="G134" s="540">
        <f>'[1]11. Kultúra'!$AE$20</f>
        <v>0</v>
      </c>
      <c r="H134" s="538">
        <f t="shared" ref="H134:H139" si="163">SUM(I134:K134)</f>
        <v>196616.62</v>
      </c>
      <c r="I134" s="539">
        <f>'[2]11. Kultúra'!$AF$20</f>
        <v>196616.62</v>
      </c>
      <c r="J134" s="539">
        <f>'[2]11. Kultúra'!$AG$20</f>
        <v>0</v>
      </c>
      <c r="K134" s="540">
        <f>'[2]11. Kultúra'!$AH$20</f>
        <v>0</v>
      </c>
      <c r="L134" s="258">
        <f t="shared" ref="L134:L139" si="164">SUM(M134:O134)</f>
        <v>200500</v>
      </c>
      <c r="M134" s="257">
        <f>'[3]11. Kultúra'!$AF$20</f>
        <v>200500</v>
      </c>
      <c r="N134" s="257">
        <f>'[3]11. Kultúra'!$AG$20</f>
        <v>0</v>
      </c>
      <c r="O134" s="342">
        <f>'[3]11. Kultúra'!$AH$20</f>
        <v>0</v>
      </c>
      <c r="P134" s="538">
        <f t="shared" ref="P134:P139" si="165">SUM(Q134:S134)</f>
        <v>197817.13</v>
      </c>
      <c r="Q134" s="539">
        <f>'[3]11. Kultúra'!$AI$20</f>
        <v>197817.13</v>
      </c>
      <c r="R134" s="539">
        <f>'[3]11. Kultúra'!$AJ$20</f>
        <v>0</v>
      </c>
      <c r="S134" s="540">
        <f>'[3]11. Kultúra'!$AK$20</f>
        <v>0</v>
      </c>
    </row>
    <row r="135" spans="2:19" ht="15.75" x14ac:dyDescent="0.25">
      <c r="B135" s="269">
        <v>2</v>
      </c>
      <c r="C135" s="270" t="s">
        <v>314</v>
      </c>
      <c r="D135" s="538">
        <f t="shared" si="162"/>
        <v>2654.24</v>
      </c>
      <c r="E135" s="539">
        <f>'[1]11. Kultúra'!$AC$27</f>
        <v>2654.24</v>
      </c>
      <c r="F135" s="539">
        <f>'[1]11. Kultúra'!$AD$27</f>
        <v>0</v>
      </c>
      <c r="G135" s="540">
        <f>'[1]11. Kultúra'!$AE$27</f>
        <v>0</v>
      </c>
      <c r="H135" s="538">
        <f t="shared" si="163"/>
        <v>289</v>
      </c>
      <c r="I135" s="539">
        <f>'[2]11. Kultúra'!$AF$27</f>
        <v>289</v>
      </c>
      <c r="J135" s="539">
        <f>'[2]11. Kultúra'!$AG$27</f>
        <v>0</v>
      </c>
      <c r="K135" s="540">
        <f>'[2]11. Kultúra'!$AH$27</f>
        <v>0</v>
      </c>
      <c r="L135" s="258">
        <f t="shared" si="164"/>
        <v>38596.400000000001</v>
      </c>
      <c r="M135" s="257">
        <f>'[3]11. Kultúra'!$AF$27</f>
        <v>10700</v>
      </c>
      <c r="N135" s="257">
        <f>'[3]11. Kultúra'!$AG$27</f>
        <v>27896.400000000001</v>
      </c>
      <c r="O135" s="342">
        <f>'[3]11. Kultúra'!$AH$27</f>
        <v>0</v>
      </c>
      <c r="P135" s="538">
        <f t="shared" si="165"/>
        <v>2114.19</v>
      </c>
      <c r="Q135" s="539">
        <f>'[3]11. Kultúra'!$AI$27</f>
        <v>2114.19</v>
      </c>
      <c r="R135" s="539">
        <f>'[3]11. Kultúra'!$AJ$27</f>
        <v>0</v>
      </c>
      <c r="S135" s="540">
        <f>'[3]11. Kultúra'!$AK$27</f>
        <v>0</v>
      </c>
    </row>
    <row r="136" spans="2:19" ht="15.75" x14ac:dyDescent="0.25">
      <c r="B136" s="269">
        <v>3</v>
      </c>
      <c r="C136" s="270" t="s">
        <v>315</v>
      </c>
      <c r="D136" s="538">
        <f t="shared" si="162"/>
        <v>1243898.5</v>
      </c>
      <c r="E136" s="539">
        <f>'[1]11. Kultúra'!$AC$37</f>
        <v>746313.57</v>
      </c>
      <c r="F136" s="539">
        <f>'[1]11. Kultúra'!$AD$37</f>
        <v>497584.93</v>
      </c>
      <c r="G136" s="540">
        <f>'[1]11. Kultúra'!$AE$37</f>
        <v>0</v>
      </c>
      <c r="H136" s="538">
        <f t="shared" si="163"/>
        <v>1243893.9199999997</v>
      </c>
      <c r="I136" s="539">
        <f>'[2]11. Kultúra'!$AF$37</f>
        <v>746219.59999999974</v>
      </c>
      <c r="J136" s="539">
        <f>'[2]11. Kultúra'!$AG$37</f>
        <v>497674.32</v>
      </c>
      <c r="K136" s="540">
        <f>'[2]11. Kultúra'!$AH$37</f>
        <v>0</v>
      </c>
      <c r="L136" s="258">
        <f t="shared" si="164"/>
        <v>1093716</v>
      </c>
      <c r="M136" s="257">
        <f>'[3]11. Kultúra'!$AF$37</f>
        <v>786716</v>
      </c>
      <c r="N136" s="257">
        <f>'[3]11. Kultúra'!$AG$37</f>
        <v>307000</v>
      </c>
      <c r="O136" s="342">
        <f>'[3]11. Kultúra'!$AH$37</f>
        <v>0</v>
      </c>
      <c r="P136" s="538">
        <f t="shared" si="165"/>
        <v>1009766.5799999998</v>
      </c>
      <c r="Q136" s="539">
        <f>'[3]11. Kultúra'!$AI$37</f>
        <v>712766.57999999984</v>
      </c>
      <c r="R136" s="539">
        <f>'[3]11. Kultúra'!$AJ$37</f>
        <v>297000</v>
      </c>
      <c r="S136" s="540">
        <f>'[3]11. Kultúra'!$AK$37</f>
        <v>0</v>
      </c>
    </row>
    <row r="137" spans="2:19" ht="15.75" x14ac:dyDescent="0.25">
      <c r="B137" s="269">
        <v>4</v>
      </c>
      <c r="C137" s="270" t="s">
        <v>316</v>
      </c>
      <c r="D137" s="538">
        <f t="shared" si="162"/>
        <v>11872.97</v>
      </c>
      <c r="E137" s="539">
        <f>'[1]11. Kultúra'!$AC$125</f>
        <v>11872.97</v>
      </c>
      <c r="F137" s="539">
        <f>'[1]11. Kultúra'!$AD$125</f>
        <v>0</v>
      </c>
      <c r="G137" s="540">
        <f>'[1]11. Kultúra'!$AE$125</f>
        <v>0</v>
      </c>
      <c r="H137" s="538">
        <f t="shared" si="163"/>
        <v>5609.619999999999</v>
      </c>
      <c r="I137" s="539">
        <f>'[2]11. Kultúra'!$AF$126</f>
        <v>5609.619999999999</v>
      </c>
      <c r="J137" s="539">
        <f>'[2]11. Kultúra'!$AG$126</f>
        <v>0</v>
      </c>
      <c r="K137" s="540">
        <f>'[2]11. Kultúra'!$AH$126</f>
        <v>0</v>
      </c>
      <c r="L137" s="258">
        <f t="shared" si="164"/>
        <v>14656</v>
      </c>
      <c r="M137" s="257">
        <f>'[3]11. Kultúra'!$AF$126</f>
        <v>14656</v>
      </c>
      <c r="N137" s="257">
        <f>'[3]11. Kultúra'!$AG$126</f>
        <v>0</v>
      </c>
      <c r="O137" s="342">
        <f>'[3]11. Kultúra'!$AH$126</f>
        <v>0</v>
      </c>
      <c r="P137" s="538">
        <f t="shared" si="165"/>
        <v>12235.710000000001</v>
      </c>
      <c r="Q137" s="539">
        <f>'[3]11. Kultúra'!$AI$126</f>
        <v>12235.710000000001</v>
      </c>
      <c r="R137" s="539">
        <f>'[3]11. Kultúra'!$AJ$126</f>
        <v>0</v>
      </c>
      <c r="S137" s="540">
        <f>'[3]11. Kultúra'!$AK$126</f>
        <v>0</v>
      </c>
    </row>
    <row r="138" spans="2:19" ht="15.75" x14ac:dyDescent="0.25">
      <c r="B138" s="281" t="s">
        <v>317</v>
      </c>
      <c r="C138" s="270" t="s">
        <v>318</v>
      </c>
      <c r="D138" s="538">
        <f t="shared" si="162"/>
        <v>101.3</v>
      </c>
      <c r="E138" s="539">
        <f>'[1]11. Kultúra'!$AC$140</f>
        <v>101.3</v>
      </c>
      <c r="F138" s="539">
        <f>'[1]11. Kultúra'!$AD$140</f>
        <v>0</v>
      </c>
      <c r="G138" s="540">
        <f>'[1]11. Kultúra'!$AE$140</f>
        <v>0</v>
      </c>
      <c r="H138" s="538">
        <f t="shared" si="163"/>
        <v>0</v>
      </c>
      <c r="I138" s="539">
        <f>'[2]11. Kultúra'!$AF$141</f>
        <v>0</v>
      </c>
      <c r="J138" s="539">
        <f>'[2]11. Kultúra'!$AG$141</f>
        <v>0</v>
      </c>
      <c r="K138" s="540">
        <f>'[2]11. Kultúra'!$AH$141</f>
        <v>0</v>
      </c>
      <c r="L138" s="258">
        <f t="shared" si="164"/>
        <v>0</v>
      </c>
      <c r="M138" s="257">
        <f>'[3]11. Kultúra'!$AF$141</f>
        <v>0</v>
      </c>
      <c r="N138" s="257">
        <f>'[3]11. Kultúra'!$AG$141</f>
        <v>0</v>
      </c>
      <c r="O138" s="342">
        <f>'[3]11. Kultúra'!$AH$141</f>
        <v>0</v>
      </c>
      <c r="P138" s="538">
        <f t="shared" si="165"/>
        <v>0</v>
      </c>
      <c r="Q138" s="539">
        <f>'[3]11. Kultúra'!$AI$141</f>
        <v>0</v>
      </c>
      <c r="R138" s="539">
        <f>'[3]11. Kultúra'!$AJ$141</f>
        <v>0</v>
      </c>
      <c r="S138" s="540">
        <f>'[3]11. Kultúra'!$AK$141</f>
        <v>0</v>
      </c>
    </row>
    <row r="139" spans="2:19" ht="16.5" thickBot="1" x14ac:dyDescent="0.3">
      <c r="B139" s="276" t="s">
        <v>319</v>
      </c>
      <c r="C139" s="272" t="s">
        <v>320</v>
      </c>
      <c r="D139" s="541">
        <f t="shared" si="162"/>
        <v>10000</v>
      </c>
      <c r="E139" s="544">
        <f>'[1]11. Kultúra'!$AC$143</f>
        <v>10000</v>
      </c>
      <c r="F139" s="544">
        <f>'[1]11. Kultúra'!$AD$143</f>
        <v>0</v>
      </c>
      <c r="G139" s="545">
        <f>'[1]11. Kultúra'!$AE$143</f>
        <v>0</v>
      </c>
      <c r="H139" s="541">
        <f t="shared" si="163"/>
        <v>2800</v>
      </c>
      <c r="I139" s="544">
        <f>'[2]11. Kultúra'!$AF$144</f>
        <v>2800</v>
      </c>
      <c r="J139" s="544">
        <f>'[2]11. Kultúra'!$AG$144</f>
        <v>0</v>
      </c>
      <c r="K139" s="545">
        <f>'[2]11. Kultúra'!$AH$144</f>
        <v>0</v>
      </c>
      <c r="L139" s="265">
        <f t="shared" si="164"/>
        <v>5000</v>
      </c>
      <c r="M139" s="351">
        <f>'[3]11. Kultúra'!$AF$144</f>
        <v>5000</v>
      </c>
      <c r="N139" s="351">
        <f>'[3]11. Kultúra'!$AG$144</f>
        <v>0</v>
      </c>
      <c r="O139" s="621">
        <f>'[3]11. Kultúra'!$AH$144</f>
        <v>0</v>
      </c>
      <c r="P139" s="541">
        <f t="shared" si="165"/>
        <v>5000</v>
      </c>
      <c r="Q139" s="544">
        <f>'[3]11. Kultúra'!$AI$144</f>
        <v>5000</v>
      </c>
      <c r="R139" s="544">
        <f>'[3]11. Kultúra'!$AJ$144</f>
        <v>0</v>
      </c>
      <c r="S139" s="545">
        <f>'[3]11. Kultúra'!$AK$144</f>
        <v>0</v>
      </c>
    </row>
    <row r="140" spans="2:19" s="123" customFormat="1" ht="15.75" x14ac:dyDescent="0.25">
      <c r="B140" s="273" t="s">
        <v>321</v>
      </c>
      <c r="C140" s="280"/>
      <c r="D140" s="535">
        <f t="shared" ref="D140:G140" si="166">D141+D146+D147+D148+D149+D150+D151</f>
        <v>1135683.6199999999</v>
      </c>
      <c r="E140" s="536">
        <f t="shared" si="166"/>
        <v>455960.19999999995</v>
      </c>
      <c r="F140" s="536">
        <f t="shared" si="166"/>
        <v>679723.42</v>
      </c>
      <c r="G140" s="537">
        <f t="shared" si="166"/>
        <v>0</v>
      </c>
      <c r="H140" s="535">
        <f t="shared" ref="H140:K140" si="167">H141+H146+H147+H148+H149+H150+H151</f>
        <v>1057745.67</v>
      </c>
      <c r="I140" s="536">
        <f t="shared" si="167"/>
        <v>363157.91</v>
      </c>
      <c r="J140" s="536">
        <f t="shared" si="167"/>
        <v>694587.76</v>
      </c>
      <c r="K140" s="537">
        <f t="shared" si="167"/>
        <v>0</v>
      </c>
      <c r="L140" s="263">
        <f t="shared" ref="L140:O140" si="168">L141+L146+L147+L148+L149+L150+L151</f>
        <v>617367</v>
      </c>
      <c r="M140" s="264">
        <f t="shared" si="168"/>
        <v>599767</v>
      </c>
      <c r="N140" s="264">
        <f t="shared" si="168"/>
        <v>17600</v>
      </c>
      <c r="O140" s="341">
        <f t="shared" si="168"/>
        <v>0</v>
      </c>
      <c r="P140" s="535">
        <f t="shared" ref="P140:S140" si="169">P141+P146+P147+P148+P149+P150+P151</f>
        <v>524847.04999999993</v>
      </c>
      <c r="Q140" s="536">
        <f t="shared" si="169"/>
        <v>507247.04999999993</v>
      </c>
      <c r="R140" s="536">
        <f t="shared" si="169"/>
        <v>17600</v>
      </c>
      <c r="S140" s="537">
        <f t="shared" si="169"/>
        <v>0</v>
      </c>
    </row>
    <row r="141" spans="2:19" ht="15.75" x14ac:dyDescent="0.25">
      <c r="B141" s="281" t="s">
        <v>322</v>
      </c>
      <c r="C141" s="270" t="s">
        <v>323</v>
      </c>
      <c r="D141" s="538">
        <f t="shared" ref="D141:G141" si="170">SUM(D142:D145)</f>
        <v>598591.37999999989</v>
      </c>
      <c r="E141" s="539">
        <f t="shared" si="170"/>
        <v>340896.16</v>
      </c>
      <c r="F141" s="539">
        <f t="shared" si="170"/>
        <v>257695.22</v>
      </c>
      <c r="G141" s="540">
        <f t="shared" si="170"/>
        <v>0</v>
      </c>
      <c r="H141" s="538">
        <f t="shared" ref="H141:K141" si="171">SUM(H142:H145)</f>
        <v>963402.67999999993</v>
      </c>
      <c r="I141" s="539">
        <f t="shared" si="171"/>
        <v>278804.92</v>
      </c>
      <c r="J141" s="539">
        <f t="shared" si="171"/>
        <v>684597.76000000001</v>
      </c>
      <c r="K141" s="540">
        <f t="shared" si="171"/>
        <v>0</v>
      </c>
      <c r="L141" s="258">
        <f t="shared" ref="L141:O141" si="172">SUM(L142:L145)</f>
        <v>477529</v>
      </c>
      <c r="M141" s="257">
        <f t="shared" si="172"/>
        <v>477529</v>
      </c>
      <c r="N141" s="257">
        <f t="shared" si="172"/>
        <v>0</v>
      </c>
      <c r="O141" s="342">
        <f t="shared" si="172"/>
        <v>0</v>
      </c>
      <c r="P141" s="538">
        <f t="shared" ref="P141:S141" si="173">SUM(P142:P145)</f>
        <v>412160.49</v>
      </c>
      <c r="Q141" s="539">
        <f t="shared" si="173"/>
        <v>412160.49</v>
      </c>
      <c r="R141" s="539">
        <f t="shared" si="173"/>
        <v>0</v>
      </c>
      <c r="S141" s="540">
        <f t="shared" si="173"/>
        <v>0</v>
      </c>
    </row>
    <row r="142" spans="2:19" ht="15.75" x14ac:dyDescent="0.25">
      <c r="B142" s="269">
        <v>1</v>
      </c>
      <c r="C142" s="270" t="s">
        <v>324</v>
      </c>
      <c r="D142" s="538">
        <f>SUM(E142:G142)</f>
        <v>583794.05999999994</v>
      </c>
      <c r="E142" s="539">
        <f>'[1]12. Prostredie pre život'!$AC$5</f>
        <v>326098.83999999997</v>
      </c>
      <c r="F142" s="539">
        <f>'[1]12. Prostredie pre život'!$AD$5</f>
        <v>257695.22</v>
      </c>
      <c r="G142" s="540">
        <f>'[1]12. Prostredie pre život'!$AE$5</f>
        <v>0</v>
      </c>
      <c r="H142" s="538">
        <f>SUM(I142:K142)</f>
        <v>957834.67999999993</v>
      </c>
      <c r="I142" s="539">
        <f>'[2]12. Prostredie pre život'!$AF$5</f>
        <v>273236.92</v>
      </c>
      <c r="J142" s="539">
        <f>'[2]12. Prostredie pre život'!$AG$5</f>
        <v>684597.76000000001</v>
      </c>
      <c r="K142" s="540">
        <f>'[2]12. Prostredie pre život'!$AH$5</f>
        <v>0</v>
      </c>
      <c r="L142" s="258">
        <f>SUM(M142:O142)</f>
        <v>460199</v>
      </c>
      <c r="M142" s="257">
        <f>'[3]12. Prostredie pre život'!$AF$5</f>
        <v>460199</v>
      </c>
      <c r="N142" s="257">
        <f>'[3]12. Prostredie pre život'!$AG$5</f>
        <v>0</v>
      </c>
      <c r="O142" s="342">
        <f>'[3]12. Prostredie pre život'!$AH$5</f>
        <v>0</v>
      </c>
      <c r="P142" s="538">
        <f>SUM(Q142:S142)</f>
        <v>396694.24</v>
      </c>
      <c r="Q142" s="539">
        <f>'[3]12. Prostredie pre život'!$AI$5</f>
        <v>396694.24</v>
      </c>
      <c r="R142" s="539">
        <f>'[3]12. Prostredie pre život'!$AJ$5</f>
        <v>0</v>
      </c>
      <c r="S142" s="540">
        <f>'[3]12. Prostredie pre život'!$AK$5</f>
        <v>0</v>
      </c>
    </row>
    <row r="143" spans="2:19" ht="15.75" x14ac:dyDescent="0.25">
      <c r="B143" s="269">
        <v>2</v>
      </c>
      <c r="C143" s="270" t="s">
        <v>325</v>
      </c>
      <c r="D143" s="538">
        <f t="shared" ref="D143:D151" si="174">SUM(E143:G143)</f>
        <v>11814</v>
      </c>
      <c r="E143" s="539">
        <f>'[1]12. Prostredie pre život'!$AC$22</f>
        <v>11814</v>
      </c>
      <c r="F143" s="539">
        <f>'[1]12. Prostredie pre život'!$AD$22</f>
        <v>0</v>
      </c>
      <c r="G143" s="540">
        <f>'[1]12. Prostredie pre život'!$AE$22</f>
        <v>0</v>
      </c>
      <c r="H143" s="538">
        <f t="shared" ref="H143:H151" si="175">SUM(I143:K143)</f>
        <v>4854</v>
      </c>
      <c r="I143" s="539">
        <f>'[2]12. Prostredie pre život'!$AF$23</f>
        <v>4854</v>
      </c>
      <c r="J143" s="539">
        <f>'[2]12. Prostredie pre život'!$AG$23</f>
        <v>0</v>
      </c>
      <c r="K143" s="540">
        <f>'[2]12. Prostredie pre život'!$AH$23</f>
        <v>0</v>
      </c>
      <c r="L143" s="258">
        <f t="shared" ref="L143:L151" si="176">SUM(M143:O143)</f>
        <v>6250</v>
      </c>
      <c r="M143" s="257">
        <f>'[3]12. Prostredie pre život'!$AF$24</f>
        <v>6250</v>
      </c>
      <c r="N143" s="257">
        <f>'[3]12. Prostredie pre život'!$AG$24</f>
        <v>0</v>
      </c>
      <c r="O143" s="342">
        <f>'[3]12. Prostredie pre život'!$AH$24</f>
        <v>0</v>
      </c>
      <c r="P143" s="538">
        <f t="shared" ref="P143:P151" si="177">SUM(Q143:S143)</f>
        <v>5300</v>
      </c>
      <c r="Q143" s="539">
        <f>'[3]12. Prostredie pre život'!$AI$24</f>
        <v>5300</v>
      </c>
      <c r="R143" s="539">
        <f>'[3]12. Prostredie pre život'!$AJ$24</f>
        <v>0</v>
      </c>
      <c r="S143" s="540">
        <f>'[3]12. Prostredie pre život'!$AK$24</f>
        <v>0</v>
      </c>
    </row>
    <row r="144" spans="2:19" ht="15.75" x14ac:dyDescent="0.25">
      <c r="B144" s="269">
        <v>3</v>
      </c>
      <c r="C144" s="270" t="s">
        <v>326</v>
      </c>
      <c r="D144" s="538">
        <f t="shared" si="174"/>
        <v>378.12</v>
      </c>
      <c r="E144" s="539">
        <f>'[1]12. Prostredie pre život'!$AC$24</f>
        <v>378.12</v>
      </c>
      <c r="F144" s="539">
        <f>'[1]12. Prostredie pre život'!$AD$24</f>
        <v>0</v>
      </c>
      <c r="G144" s="540">
        <f>'[1]12. Prostredie pre život'!$AE$24</f>
        <v>0</v>
      </c>
      <c r="H144" s="538">
        <f t="shared" si="175"/>
        <v>0</v>
      </c>
      <c r="I144" s="539">
        <f>'[2]12. Prostredie pre život'!$AF$25</f>
        <v>0</v>
      </c>
      <c r="J144" s="539">
        <f>'[2]12. Prostredie pre život'!$AG$25</f>
        <v>0</v>
      </c>
      <c r="K144" s="540">
        <f>'[2]12. Prostredie pre život'!$AH$25</f>
        <v>0</v>
      </c>
      <c r="L144" s="258">
        <f t="shared" si="176"/>
        <v>8800</v>
      </c>
      <c r="M144" s="257">
        <f>'[3]12. Prostredie pre život'!$AF$26</f>
        <v>8800</v>
      </c>
      <c r="N144" s="257">
        <f>'[3]12. Prostredie pre život'!$AG$26</f>
        <v>0</v>
      </c>
      <c r="O144" s="342">
        <f>'[3]12. Prostredie pre život'!$AH$26</f>
        <v>0</v>
      </c>
      <c r="P144" s="538">
        <f t="shared" si="177"/>
        <v>7904.4</v>
      </c>
      <c r="Q144" s="539">
        <f>'[3]12. Prostredie pre život'!$AI$26</f>
        <v>7904.4</v>
      </c>
      <c r="R144" s="539">
        <f>'[3]12. Prostredie pre život'!$AJ$26</f>
        <v>0</v>
      </c>
      <c r="S144" s="540">
        <f>'[3]12. Prostredie pre život'!$AK$26</f>
        <v>0</v>
      </c>
    </row>
    <row r="145" spans="1:19" ht="15.75" x14ac:dyDescent="0.25">
      <c r="B145" s="269">
        <v>4</v>
      </c>
      <c r="C145" s="270" t="s">
        <v>327</v>
      </c>
      <c r="D145" s="538">
        <f t="shared" si="174"/>
        <v>2605.1999999999998</v>
      </c>
      <c r="E145" s="539">
        <f>'[1]12. Prostredie pre život'!$AC$41</f>
        <v>2605.1999999999998</v>
      </c>
      <c r="F145" s="539">
        <f>'[1]12. Prostredie pre život'!$AD$41</f>
        <v>0</v>
      </c>
      <c r="G145" s="540">
        <f>'[1]12. Prostredie pre život'!$AE$41</f>
        <v>0</v>
      </c>
      <c r="H145" s="538">
        <f t="shared" si="175"/>
        <v>714</v>
      </c>
      <c r="I145" s="539">
        <f>'[2]12. Prostredie pre život'!$AF$42</f>
        <v>714</v>
      </c>
      <c r="J145" s="539">
        <f>'[2]12. Prostredie pre život'!$AG$42</f>
        <v>0</v>
      </c>
      <c r="K145" s="540">
        <f>'[2]12. Prostredie pre život'!$AH$42</f>
        <v>0</v>
      </c>
      <c r="L145" s="258">
        <f t="shared" si="176"/>
        <v>2280</v>
      </c>
      <c r="M145" s="257">
        <f>'[3]12. Prostredie pre život'!$AF$44</f>
        <v>2280</v>
      </c>
      <c r="N145" s="257">
        <f>'[3]12. Prostredie pre život'!$AG$44</f>
        <v>0</v>
      </c>
      <c r="O145" s="342">
        <f>'[3]12. Prostredie pre život'!$AH$44</f>
        <v>0</v>
      </c>
      <c r="P145" s="538">
        <f t="shared" si="177"/>
        <v>2261.85</v>
      </c>
      <c r="Q145" s="539">
        <f>'[3]12. Prostredie pre život'!$AI$44</f>
        <v>2261.85</v>
      </c>
      <c r="R145" s="539">
        <f>'[3]12. Prostredie pre život'!$AJ$44</f>
        <v>0</v>
      </c>
      <c r="S145" s="540">
        <f>'[3]12. Prostredie pre život'!$AK$44</f>
        <v>0</v>
      </c>
    </row>
    <row r="146" spans="1:19" ht="15.75" x14ac:dyDescent="0.25">
      <c r="B146" s="281" t="s">
        <v>328</v>
      </c>
      <c r="C146" s="270" t="s">
        <v>329</v>
      </c>
      <c r="D146" s="538">
        <f t="shared" si="174"/>
        <v>5430</v>
      </c>
      <c r="E146" s="539">
        <f>'[1]12. Prostredie pre život'!$AC$45</f>
        <v>5430</v>
      </c>
      <c r="F146" s="539">
        <f>'[1]12. Prostredie pre život'!$AD$45</f>
        <v>0</v>
      </c>
      <c r="G146" s="540">
        <f>'[1]12. Prostredie pre život'!$AE$45</f>
        <v>0</v>
      </c>
      <c r="H146" s="538">
        <f t="shared" si="175"/>
        <v>2268</v>
      </c>
      <c r="I146" s="539">
        <f>'[2]12. Prostredie pre život'!$AF$46</f>
        <v>2268</v>
      </c>
      <c r="J146" s="539">
        <f>'[2]12. Prostredie pre život'!$AG$46</f>
        <v>0</v>
      </c>
      <c r="K146" s="540">
        <f>'[2]12. Prostredie pre život'!$AH$46</f>
        <v>0</v>
      </c>
      <c r="L146" s="258">
        <f t="shared" si="176"/>
        <v>3500</v>
      </c>
      <c r="M146" s="257">
        <f>'[3]12. Prostredie pre život'!$AF$48</f>
        <v>3500</v>
      </c>
      <c r="N146" s="257">
        <f>'[3]12. Prostredie pre život'!$AG$48</f>
        <v>0</v>
      </c>
      <c r="O146" s="342">
        <f>'[3]12. Prostredie pre život'!$AH$48</f>
        <v>0</v>
      </c>
      <c r="P146" s="538">
        <f t="shared" si="177"/>
        <v>0</v>
      </c>
      <c r="Q146" s="539">
        <f>'[3]12. Prostredie pre život'!$AI$48</f>
        <v>0</v>
      </c>
      <c r="R146" s="539">
        <f>'[3]12. Prostredie pre život'!$AJ$48</f>
        <v>0</v>
      </c>
      <c r="S146" s="540">
        <f>'[3]12. Prostredie pre život'!$AK$48</f>
        <v>0</v>
      </c>
    </row>
    <row r="147" spans="1:19" ht="15.75" x14ac:dyDescent="0.25">
      <c r="A147" s="124"/>
      <c r="B147" s="287" t="s">
        <v>330</v>
      </c>
      <c r="C147" s="270" t="s">
        <v>331</v>
      </c>
      <c r="D147" s="538">
        <f t="shared" si="174"/>
        <v>454643.88</v>
      </c>
      <c r="E147" s="539">
        <f>'[1]12. Prostredie pre život'!$AC$48</f>
        <v>32615.680000000008</v>
      </c>
      <c r="F147" s="539">
        <f>'[1]12. Prostredie pre život'!$AD$48</f>
        <v>422028.2</v>
      </c>
      <c r="G147" s="540">
        <f>'[1]12. Prostredie pre život'!$AE$48</f>
        <v>0</v>
      </c>
      <c r="H147" s="538">
        <f t="shared" si="175"/>
        <v>15397.550000000001</v>
      </c>
      <c r="I147" s="539">
        <f>'[2]12. Prostredie pre život'!$AF$49</f>
        <v>15397.550000000001</v>
      </c>
      <c r="J147" s="539">
        <f>'[2]12. Prostredie pre život'!$AG$49</f>
        <v>0</v>
      </c>
      <c r="K147" s="540">
        <f>'[2]12. Prostredie pre život'!$AH$49</f>
        <v>0</v>
      </c>
      <c r="L147" s="258">
        <f t="shared" si="176"/>
        <v>29800</v>
      </c>
      <c r="M147" s="257">
        <f>'[3]12. Prostredie pre život'!$AF$51</f>
        <v>29800</v>
      </c>
      <c r="N147" s="257">
        <f>'[3]12. Prostredie pre život'!$AG$51</f>
        <v>0</v>
      </c>
      <c r="O147" s="342">
        <f>'[3]12. Prostredie pre život'!$AH$51</f>
        <v>0</v>
      </c>
      <c r="P147" s="538">
        <f t="shared" si="177"/>
        <v>16268.51</v>
      </c>
      <c r="Q147" s="539">
        <f>'[3]12. Prostredie pre život'!$AI$51</f>
        <v>16268.51</v>
      </c>
      <c r="R147" s="539">
        <f>'[3]12. Prostredie pre život'!$AJ$51</f>
        <v>0</v>
      </c>
      <c r="S147" s="540">
        <f>'[3]12. Prostredie pre život'!$AK$51</f>
        <v>0</v>
      </c>
    </row>
    <row r="148" spans="1:19" ht="15.75" x14ac:dyDescent="0.25">
      <c r="A148" s="124"/>
      <c r="B148" s="287" t="s">
        <v>332</v>
      </c>
      <c r="C148" s="270" t="s">
        <v>333</v>
      </c>
      <c r="D148" s="538">
        <f t="shared" si="174"/>
        <v>500.05</v>
      </c>
      <c r="E148" s="539">
        <f>'[1]12. Prostredie pre život'!$AC$68</f>
        <v>500.05</v>
      </c>
      <c r="F148" s="539">
        <f>'[1]12. Prostredie pre život'!$AD$68</f>
        <v>0</v>
      </c>
      <c r="G148" s="540">
        <f>'[1]12. Prostredie pre život'!$AE$68</f>
        <v>0</v>
      </c>
      <c r="H148" s="538">
        <f t="shared" si="175"/>
        <v>533.16999999999996</v>
      </c>
      <c r="I148" s="539">
        <f>'[2]12. Prostredie pre život'!$AF$70</f>
        <v>533.16999999999996</v>
      </c>
      <c r="J148" s="539">
        <f>'[2]12. Prostredie pre život'!$AG$70</f>
        <v>0</v>
      </c>
      <c r="K148" s="540">
        <f>'[2]12. Prostredie pre život'!$AH$70</f>
        <v>0</v>
      </c>
      <c r="L148" s="258">
        <f t="shared" si="176"/>
        <v>5000</v>
      </c>
      <c r="M148" s="257">
        <f>'[3]12. Prostredie pre život'!$AF$72</f>
        <v>5000</v>
      </c>
      <c r="N148" s="257">
        <f>'[3]12. Prostredie pre život'!$AG$72</f>
        <v>0</v>
      </c>
      <c r="O148" s="342">
        <f>'[3]12. Prostredie pre život'!$AH$72</f>
        <v>0</v>
      </c>
      <c r="P148" s="538">
        <f t="shared" si="177"/>
        <v>2803.92</v>
      </c>
      <c r="Q148" s="539">
        <f>'[3]12. Prostredie pre život'!$AI$72</f>
        <v>2803.92</v>
      </c>
      <c r="R148" s="539">
        <f>'[3]12. Prostredie pre život'!$AJ$72</f>
        <v>0</v>
      </c>
      <c r="S148" s="540">
        <f>'[3]12. Prostredie pre život'!$AK$72</f>
        <v>0</v>
      </c>
    </row>
    <row r="149" spans="1:19" ht="15.75" x14ac:dyDescent="0.25">
      <c r="A149" s="124"/>
      <c r="B149" s="287" t="s">
        <v>334</v>
      </c>
      <c r="C149" s="270" t="s">
        <v>335</v>
      </c>
      <c r="D149" s="538">
        <f t="shared" si="174"/>
        <v>40835.03</v>
      </c>
      <c r="E149" s="539">
        <f>'[1]12. Prostredie pre život'!$AC$70</f>
        <v>40835.03</v>
      </c>
      <c r="F149" s="539">
        <f>'[1]12. Prostredie pre život'!$AD$70</f>
        <v>0</v>
      </c>
      <c r="G149" s="540">
        <f>'[1]12. Prostredie pre život'!$AE$70</f>
        <v>0</v>
      </c>
      <c r="H149" s="538">
        <f t="shared" si="175"/>
        <v>40562.26</v>
      </c>
      <c r="I149" s="539">
        <f>'[2]12. Prostredie pre život'!$AF$72</f>
        <v>40562.26</v>
      </c>
      <c r="J149" s="539">
        <f>'[2]12. Prostredie pre život'!$AG$72</f>
        <v>0</v>
      </c>
      <c r="K149" s="540">
        <f>'[2]12. Prostredie pre život'!$AH$72</f>
        <v>0</v>
      </c>
      <c r="L149" s="258">
        <f t="shared" si="176"/>
        <v>42500</v>
      </c>
      <c r="M149" s="257">
        <f>'[3]12. Prostredie pre život'!$AF$74</f>
        <v>42500</v>
      </c>
      <c r="N149" s="257">
        <f>'[3]12. Prostredie pre život'!$AG$74</f>
        <v>0</v>
      </c>
      <c r="O149" s="342">
        <f>'[3]12. Prostredie pre život'!$AH$74</f>
        <v>0</v>
      </c>
      <c r="P149" s="538">
        <f t="shared" si="177"/>
        <v>40473.78</v>
      </c>
      <c r="Q149" s="539">
        <f>'[3]12. Prostredie pre život'!$AI$74</f>
        <v>40473.78</v>
      </c>
      <c r="R149" s="539">
        <f>'[3]12. Prostredie pre život'!$AJ$74</f>
        <v>0</v>
      </c>
      <c r="S149" s="540">
        <f>'[3]12. Prostredie pre život'!$AK$74</f>
        <v>0</v>
      </c>
    </row>
    <row r="150" spans="1:19" ht="15.75" x14ac:dyDescent="0.25">
      <c r="A150" s="124"/>
      <c r="B150" s="288" t="s">
        <v>336</v>
      </c>
      <c r="C150" s="286" t="s">
        <v>337</v>
      </c>
      <c r="D150" s="538">
        <f t="shared" si="174"/>
        <v>35683.279999999999</v>
      </c>
      <c r="E150" s="539">
        <f>'[1]12. Prostredie pre život'!$AC$74</f>
        <v>35683.279999999999</v>
      </c>
      <c r="F150" s="539">
        <f>'[1]12. Prostredie pre život'!$AD$74</f>
        <v>0</v>
      </c>
      <c r="G150" s="540">
        <f>'[1]12. Prostredie pre život'!$AE$74</f>
        <v>0</v>
      </c>
      <c r="H150" s="538">
        <f t="shared" si="175"/>
        <v>35582.01</v>
      </c>
      <c r="I150" s="539">
        <f>'[2]12. Prostredie pre život'!$AF$76</f>
        <v>25592.010000000002</v>
      </c>
      <c r="J150" s="539">
        <f>'[2]12. Prostredie pre život'!$AG$76</f>
        <v>9990</v>
      </c>
      <c r="K150" s="540">
        <f>'[2]12. Prostredie pre život'!$AH$76</f>
        <v>0</v>
      </c>
      <c r="L150" s="258">
        <f t="shared" si="176"/>
        <v>59038</v>
      </c>
      <c r="M150" s="257">
        <f>'[3]12. Prostredie pre život'!$AF$78</f>
        <v>41438</v>
      </c>
      <c r="N150" s="257">
        <f>'[3]12. Prostredie pre život'!$AG$78</f>
        <v>17600</v>
      </c>
      <c r="O150" s="342">
        <f>'[3]12. Prostredie pre život'!$AH$78</f>
        <v>0</v>
      </c>
      <c r="P150" s="538">
        <f t="shared" si="177"/>
        <v>53140.35</v>
      </c>
      <c r="Q150" s="539">
        <f>'[3]12. Prostredie pre život'!$AI$78</f>
        <v>35540.35</v>
      </c>
      <c r="R150" s="539">
        <f>'[3]12. Prostredie pre život'!$AJ$78</f>
        <v>17600</v>
      </c>
      <c r="S150" s="540">
        <f>'[3]12. Prostredie pre život'!$AK$78</f>
        <v>0</v>
      </c>
    </row>
    <row r="151" spans="1:19" ht="16.5" thickBot="1" x14ac:dyDescent="0.3">
      <c r="A151" s="124"/>
      <c r="B151" s="289" t="s">
        <v>338</v>
      </c>
      <c r="C151" s="272" t="s">
        <v>413</v>
      </c>
      <c r="D151" s="541">
        <f t="shared" si="174"/>
        <v>0</v>
      </c>
      <c r="E151" s="542">
        <f>'[1]12. Prostredie pre život'!$AC$102</f>
        <v>0</v>
      </c>
      <c r="F151" s="542">
        <f>'[1]12. Prostredie pre život'!$AD$102</f>
        <v>0</v>
      </c>
      <c r="G151" s="543">
        <f>'[1]12. Prostredie pre život'!$AE$102</f>
        <v>0</v>
      </c>
      <c r="H151" s="541">
        <f t="shared" si="175"/>
        <v>0</v>
      </c>
      <c r="I151" s="542">
        <f>'[2]12. Prostredie pre život'!$AF$104</f>
        <v>0</v>
      </c>
      <c r="J151" s="542">
        <f>'[2]12. Prostredie pre život'!$AG$104</f>
        <v>0</v>
      </c>
      <c r="K151" s="543">
        <f>'[2]12. Prostredie pre život'!$AH$104</f>
        <v>0</v>
      </c>
      <c r="L151" s="265">
        <f t="shared" si="176"/>
        <v>0</v>
      </c>
      <c r="M151" s="266">
        <f>'[3]12. Prostredie pre život'!$AF$106</f>
        <v>0</v>
      </c>
      <c r="N151" s="266">
        <f>'[3]12. Prostredie pre život'!$AG$106</f>
        <v>0</v>
      </c>
      <c r="O151" s="620">
        <f>'[3]12. Prostredie pre život'!$AH$106</f>
        <v>0</v>
      </c>
      <c r="P151" s="541">
        <f t="shared" si="177"/>
        <v>0</v>
      </c>
      <c r="Q151" s="542">
        <f>'[3]12. Prostredie pre život'!$AI$106</f>
        <v>0</v>
      </c>
      <c r="R151" s="542">
        <f>'[3]12. Prostredie pre život'!$AJ$106</f>
        <v>0</v>
      </c>
      <c r="S151" s="543">
        <f>'[3]12. Prostredie pre život'!$AK$106</f>
        <v>0</v>
      </c>
    </row>
    <row r="152" spans="1:19" s="123" customFormat="1" ht="15.75" x14ac:dyDescent="0.25">
      <c r="A152" s="125"/>
      <c r="B152" s="290" t="s">
        <v>340</v>
      </c>
      <c r="C152" s="291" t="s">
        <v>341</v>
      </c>
      <c r="D152" s="535">
        <f t="shared" ref="D152:G152" si="178">D153+D157+D162+D167+D171+D172+D173+D175+D176+D177</f>
        <v>2999990.5600000005</v>
      </c>
      <c r="E152" s="536">
        <f t="shared" si="178"/>
        <v>2973371.4200000009</v>
      </c>
      <c r="F152" s="536">
        <f t="shared" si="178"/>
        <v>26619.14</v>
      </c>
      <c r="G152" s="537">
        <f t="shared" si="178"/>
        <v>0</v>
      </c>
      <c r="H152" s="535">
        <f t="shared" ref="H152:J152" si="179">H153+H157+H162+H167+H171+H172+H173+H175+H176+H177</f>
        <v>2899930.1799999997</v>
      </c>
      <c r="I152" s="536">
        <f t="shared" si="179"/>
        <v>2874148.71</v>
      </c>
      <c r="J152" s="536">
        <f t="shared" si="179"/>
        <v>21351.67</v>
      </c>
      <c r="K152" s="537">
        <f>K153+K157+K162+K167+K171+K172+K173+K175+K176+K177</f>
        <v>4429.8</v>
      </c>
      <c r="L152" s="263">
        <f t="shared" ref="L152:N152" si="180">L153+L157+L162+L167+L171+L172+L173+L175+L176+L177</f>
        <v>2908125</v>
      </c>
      <c r="M152" s="264">
        <f t="shared" si="180"/>
        <v>2898125</v>
      </c>
      <c r="N152" s="264">
        <f t="shared" si="180"/>
        <v>10000</v>
      </c>
      <c r="O152" s="341">
        <f>O153+O157+O162+O167+O171+O172+O173+O175+O176+O177</f>
        <v>0</v>
      </c>
      <c r="P152" s="535">
        <f t="shared" ref="P152:R152" si="181">P153+P157+P162+P167+P171+P172+P173+P175+P176+P177</f>
        <v>2748300.58</v>
      </c>
      <c r="Q152" s="536">
        <f t="shared" si="181"/>
        <v>2748300.58</v>
      </c>
      <c r="R152" s="536">
        <f t="shared" si="181"/>
        <v>0</v>
      </c>
      <c r="S152" s="537">
        <f>S153+S157+S162+S167+S171+S172+S173+S175+S176+S177</f>
        <v>0</v>
      </c>
    </row>
    <row r="153" spans="1:19" ht="15.75" x14ac:dyDescent="0.25">
      <c r="A153" s="124"/>
      <c r="B153" s="281" t="s">
        <v>342</v>
      </c>
      <c r="C153" s="270" t="s">
        <v>343</v>
      </c>
      <c r="D153" s="538">
        <f t="shared" ref="D153:G153" si="182">SUM(D154:D156)</f>
        <v>37880</v>
      </c>
      <c r="E153" s="539">
        <f t="shared" si="182"/>
        <v>37880</v>
      </c>
      <c r="F153" s="539">
        <f t="shared" si="182"/>
        <v>0</v>
      </c>
      <c r="G153" s="540">
        <f t="shared" si="182"/>
        <v>0</v>
      </c>
      <c r="H153" s="538">
        <f t="shared" ref="H153:K153" si="183">SUM(H154:H156)</f>
        <v>48320.4</v>
      </c>
      <c r="I153" s="539">
        <f t="shared" si="183"/>
        <v>48320.4</v>
      </c>
      <c r="J153" s="539">
        <f t="shared" si="183"/>
        <v>0</v>
      </c>
      <c r="K153" s="540">
        <f t="shared" si="183"/>
        <v>0</v>
      </c>
      <c r="L153" s="258">
        <f t="shared" ref="L153:O153" si="184">SUM(L154:L156)</f>
        <v>54300</v>
      </c>
      <c r="M153" s="257">
        <f t="shared" si="184"/>
        <v>54300</v>
      </c>
      <c r="N153" s="257">
        <f t="shared" si="184"/>
        <v>0</v>
      </c>
      <c r="O153" s="342">
        <f t="shared" si="184"/>
        <v>0</v>
      </c>
      <c r="P153" s="538">
        <f t="shared" ref="P153:S153" si="185">SUM(P154:P156)</f>
        <v>48450</v>
      </c>
      <c r="Q153" s="539">
        <f t="shared" si="185"/>
        <v>48450</v>
      </c>
      <c r="R153" s="539">
        <f t="shared" si="185"/>
        <v>0</v>
      </c>
      <c r="S153" s="540">
        <f t="shared" si="185"/>
        <v>0</v>
      </c>
    </row>
    <row r="154" spans="1:19" ht="15.75" x14ac:dyDescent="0.25">
      <c r="A154" s="124"/>
      <c r="B154" s="269">
        <v>1</v>
      </c>
      <c r="C154" s="270" t="s">
        <v>344</v>
      </c>
      <c r="D154" s="538">
        <f>SUM(E154:G154)</f>
        <v>32170</v>
      </c>
      <c r="E154" s="539">
        <f>'[1]13. Sociálna starostlivosť'!$AC$5</f>
        <v>32170</v>
      </c>
      <c r="F154" s="539">
        <f>'[1]13. Sociálna starostlivosť'!$AD$5</f>
        <v>0</v>
      </c>
      <c r="G154" s="540">
        <f>'[1]13. Sociálna starostlivosť'!$AE$5</f>
        <v>0</v>
      </c>
      <c r="H154" s="538">
        <f>SUM(I154:K154)</f>
        <v>39830</v>
      </c>
      <c r="I154" s="539">
        <f>'[2]13. Sociálna starostlivosť'!$AF$5</f>
        <v>39830</v>
      </c>
      <c r="J154" s="539">
        <f>'[2]13. Sociálna starostlivosť'!$AG$5</f>
        <v>0</v>
      </c>
      <c r="K154" s="540">
        <f>'[2]13. Sociálna starostlivosť'!$AH$5</f>
        <v>0</v>
      </c>
      <c r="L154" s="258">
        <f>SUM(M154:O154)</f>
        <v>43300</v>
      </c>
      <c r="M154" s="257">
        <f>'[3]13. Sociálna starostlivosť'!$AF$5</f>
        <v>43300</v>
      </c>
      <c r="N154" s="257">
        <f>'[3]13. Sociálna starostlivosť'!$AG$5</f>
        <v>0</v>
      </c>
      <c r="O154" s="342">
        <f>'[3]13. Sociálna starostlivosť'!$AH$5</f>
        <v>0</v>
      </c>
      <c r="P154" s="538">
        <f>SUM(Q154:S154)</f>
        <v>43300</v>
      </c>
      <c r="Q154" s="539">
        <f>'[3]13. Sociálna starostlivosť'!$AI$5</f>
        <v>43300</v>
      </c>
      <c r="R154" s="539">
        <f>'[3]13. Sociálna starostlivosť'!$AJ$5</f>
        <v>0</v>
      </c>
      <c r="S154" s="540">
        <f>'[3]13. Sociálna starostlivosť'!$AK$5</f>
        <v>0</v>
      </c>
    </row>
    <row r="155" spans="1:19" ht="15.75" x14ac:dyDescent="0.25">
      <c r="A155" s="124"/>
      <c r="B155" s="269">
        <v>2</v>
      </c>
      <c r="C155" s="270" t="s">
        <v>345</v>
      </c>
      <c r="D155" s="538">
        <f>SUM(E155:G155)</f>
        <v>0</v>
      </c>
      <c r="E155" s="539">
        <f>'[1]13. Sociálna starostlivosť'!$AC$8</f>
        <v>0</v>
      </c>
      <c r="F155" s="539">
        <f>'[1]13. Sociálna starostlivosť'!$AD$8</f>
        <v>0</v>
      </c>
      <c r="G155" s="540">
        <f>'[1]13. Sociálna starostlivosť'!$AE$8</f>
        <v>0</v>
      </c>
      <c r="H155" s="538">
        <f>SUM(I155:K155)</f>
        <v>0</v>
      </c>
      <c r="I155" s="539">
        <f>'[2]13. Sociálna starostlivosť'!$AF$8</f>
        <v>0</v>
      </c>
      <c r="J155" s="539">
        <f>'[2]13. Sociálna starostlivosť'!$AG$8</f>
        <v>0</v>
      </c>
      <c r="K155" s="540">
        <f>'[2]13. Sociálna starostlivosť'!$AH$8</f>
        <v>0</v>
      </c>
      <c r="L155" s="258">
        <f>SUM(M155:O155)</f>
        <v>0</v>
      </c>
      <c r="M155" s="257">
        <f>'[3]13. Sociálna starostlivosť'!$AF$8</f>
        <v>0</v>
      </c>
      <c r="N155" s="257">
        <f>'[3]13. Sociálna starostlivosť'!$AG$8</f>
        <v>0</v>
      </c>
      <c r="O155" s="342">
        <f>'[3]13. Sociálna starostlivosť'!$AH$8</f>
        <v>0</v>
      </c>
      <c r="P155" s="538">
        <f>SUM(Q155:S155)</f>
        <v>0</v>
      </c>
      <c r="Q155" s="539">
        <f>'[3]13. Sociálna starostlivosť'!$AI$8</f>
        <v>0</v>
      </c>
      <c r="R155" s="539">
        <f>'[3]13. Sociálna starostlivosť'!$AJ$8</f>
        <v>0</v>
      </c>
      <c r="S155" s="540">
        <f>'[3]13. Sociálna starostlivosť'!$AK$8</f>
        <v>0</v>
      </c>
    </row>
    <row r="156" spans="1:19" ht="15.75" x14ac:dyDescent="0.25">
      <c r="A156" s="124"/>
      <c r="B156" s="269">
        <v>3</v>
      </c>
      <c r="C156" s="270" t="s">
        <v>346</v>
      </c>
      <c r="D156" s="538">
        <f>SUM(E156:G156)</f>
        <v>5710</v>
      </c>
      <c r="E156" s="539">
        <f>'[1]13. Sociálna starostlivosť'!$AC$9</f>
        <v>5710</v>
      </c>
      <c r="F156" s="539">
        <f>'[1]13. Sociálna starostlivosť'!$AD$9</f>
        <v>0</v>
      </c>
      <c r="G156" s="540">
        <f>'[1]13. Sociálna starostlivosť'!$AE$9</f>
        <v>0</v>
      </c>
      <c r="H156" s="538">
        <f>SUM(I156:K156)</f>
        <v>8490.4</v>
      </c>
      <c r="I156" s="539">
        <f>'[2]13. Sociálna starostlivosť'!$AF$9</f>
        <v>8490.4</v>
      </c>
      <c r="J156" s="539">
        <f>'[2]13. Sociálna starostlivosť'!$AG$9</f>
        <v>0</v>
      </c>
      <c r="K156" s="540">
        <f>'[2]13. Sociálna starostlivosť'!$AH$9</f>
        <v>0</v>
      </c>
      <c r="L156" s="258">
        <f>SUM(M156:O156)</f>
        <v>11000</v>
      </c>
      <c r="M156" s="257">
        <f>'[3]13. Sociálna starostlivosť'!$AF$9</f>
        <v>11000</v>
      </c>
      <c r="N156" s="257">
        <f>'[3]13. Sociálna starostlivosť'!$AG$9</f>
        <v>0</v>
      </c>
      <c r="O156" s="342">
        <f>'[3]13. Sociálna starostlivosť'!$AH$9</f>
        <v>0</v>
      </c>
      <c r="P156" s="538">
        <f>SUM(Q156:S156)</f>
        <v>5150</v>
      </c>
      <c r="Q156" s="539">
        <f>'[3]13. Sociálna starostlivosť'!$AI$9</f>
        <v>5150</v>
      </c>
      <c r="R156" s="539">
        <f>'[3]13. Sociálna starostlivosť'!$AJ$9</f>
        <v>0</v>
      </c>
      <c r="S156" s="540">
        <f>'[3]13. Sociálna starostlivosť'!$AK$9</f>
        <v>0</v>
      </c>
    </row>
    <row r="157" spans="1:19" ht="15.75" x14ac:dyDescent="0.25">
      <c r="A157" s="125"/>
      <c r="B157" s="281" t="s">
        <v>347</v>
      </c>
      <c r="C157" s="270" t="s">
        <v>348</v>
      </c>
      <c r="D157" s="538">
        <f t="shared" ref="D157:G157" si="186">SUM(D158:D161)</f>
        <v>427388.27</v>
      </c>
      <c r="E157" s="539">
        <f t="shared" si="186"/>
        <v>427388.27</v>
      </c>
      <c r="F157" s="539">
        <f t="shared" si="186"/>
        <v>0</v>
      </c>
      <c r="G157" s="540">
        <f t="shared" si="186"/>
        <v>0</v>
      </c>
      <c r="H157" s="538">
        <f t="shared" ref="H157:K157" si="187">SUM(H158:H161)</f>
        <v>256808.88</v>
      </c>
      <c r="I157" s="539">
        <f t="shared" si="187"/>
        <v>240826.91999999998</v>
      </c>
      <c r="J157" s="539">
        <f t="shared" si="187"/>
        <v>15981.96</v>
      </c>
      <c r="K157" s="540">
        <f t="shared" si="187"/>
        <v>0</v>
      </c>
      <c r="L157" s="258">
        <f t="shared" ref="L157:O157" si="188">SUM(L158:L161)</f>
        <v>215170</v>
      </c>
      <c r="M157" s="257">
        <f t="shared" si="188"/>
        <v>215170</v>
      </c>
      <c r="N157" s="257">
        <f t="shared" si="188"/>
        <v>0</v>
      </c>
      <c r="O157" s="342">
        <f t="shared" si="188"/>
        <v>0</v>
      </c>
      <c r="P157" s="538">
        <f t="shared" ref="P157:S157" si="189">SUM(P158:P161)</f>
        <v>215170</v>
      </c>
      <c r="Q157" s="539">
        <f t="shared" si="189"/>
        <v>215170</v>
      </c>
      <c r="R157" s="539">
        <f t="shared" si="189"/>
        <v>0</v>
      </c>
      <c r="S157" s="540">
        <f t="shared" si="189"/>
        <v>0</v>
      </c>
    </row>
    <row r="158" spans="1:19" ht="15.75" x14ac:dyDescent="0.25">
      <c r="A158" s="125"/>
      <c r="B158" s="269">
        <v>1</v>
      </c>
      <c r="C158" s="270" t="s">
        <v>349</v>
      </c>
      <c r="D158" s="538">
        <f>SUM(E158:G158)</f>
        <v>258490</v>
      </c>
      <c r="E158" s="539">
        <f>'[1]13. Sociálna starostlivosť'!$AC$17</f>
        <v>258490</v>
      </c>
      <c r="F158" s="539">
        <f>'[1]13. Sociálna starostlivosť'!$AD$17</f>
        <v>0</v>
      </c>
      <c r="G158" s="540">
        <f>'[1]13. Sociálna starostlivosť'!$AE$17</f>
        <v>0</v>
      </c>
      <c r="H158" s="538">
        <f>SUM(I158:K158)</f>
        <v>93581.959999999992</v>
      </c>
      <c r="I158" s="539">
        <f>'[2]13. Sociálna starostlivosť'!$AF$17</f>
        <v>77600</v>
      </c>
      <c r="J158" s="539">
        <f>'[2]13. Sociálna starostlivosť'!$AG$17</f>
        <v>15981.96</v>
      </c>
      <c r="K158" s="540">
        <f>'[2]13. Sociálna starostlivosť'!$AH$17</f>
        <v>0</v>
      </c>
      <c r="L158" s="258">
        <f>SUM(M158:O158)</f>
        <v>63220</v>
      </c>
      <c r="M158" s="257">
        <f>'[3]13. Sociálna starostlivosť'!$AF$17</f>
        <v>63220</v>
      </c>
      <c r="N158" s="257">
        <f>'[3]13. Sociálna starostlivosť'!$AG$17</f>
        <v>0</v>
      </c>
      <c r="O158" s="342">
        <f>'[3]13. Sociálna starostlivosť'!$AH$17</f>
        <v>0</v>
      </c>
      <c r="P158" s="538">
        <f>SUM(Q158:S158)</f>
        <v>63220</v>
      </c>
      <c r="Q158" s="539">
        <f>'[3]13. Sociálna starostlivosť'!$AI$17</f>
        <v>63220</v>
      </c>
      <c r="R158" s="539">
        <f>'[3]13. Sociálna starostlivosť'!$AJ$17</f>
        <v>0</v>
      </c>
      <c r="S158" s="540">
        <f>'[3]13. Sociálna starostlivosť'!$AK$17</f>
        <v>0</v>
      </c>
    </row>
    <row r="159" spans="1:19" ht="15.75" x14ac:dyDescent="0.25">
      <c r="A159" s="125"/>
      <c r="B159" s="269">
        <v>2</v>
      </c>
      <c r="C159" s="270" t="s">
        <v>350</v>
      </c>
      <c r="D159" s="538">
        <f>SUM(E159:G159)</f>
        <v>72150</v>
      </c>
      <c r="E159" s="539">
        <f>'[1]13. Sociálna starostlivosť'!$AC$21</f>
        <v>72150</v>
      </c>
      <c r="F159" s="539">
        <f>'[1]13. Sociálna starostlivosť'!$AD$21</f>
        <v>0</v>
      </c>
      <c r="G159" s="540">
        <f>'[1]13. Sociálna starostlivosť'!$AE$21</f>
        <v>0</v>
      </c>
      <c r="H159" s="538">
        <f>SUM(I159:K159)</f>
        <v>39750</v>
      </c>
      <c r="I159" s="539">
        <f>'[2]13. Sociálna starostlivosť'!$AF$21</f>
        <v>39750</v>
      </c>
      <c r="J159" s="539">
        <f>'[2]13. Sociálna starostlivosť'!$AG$21</f>
        <v>0</v>
      </c>
      <c r="K159" s="540">
        <f>'[2]13. Sociálna starostlivosť'!$AH$21</f>
        <v>0</v>
      </c>
      <c r="L159" s="258">
        <f>SUM(M159:O159)</f>
        <v>40220</v>
      </c>
      <c r="M159" s="257">
        <f>'[3]13. Sociálna starostlivosť'!$AF$21</f>
        <v>40220</v>
      </c>
      <c r="N159" s="257">
        <f>'[3]13. Sociálna starostlivosť'!$AG$21</f>
        <v>0</v>
      </c>
      <c r="O159" s="342">
        <f>'[3]13. Sociálna starostlivosť'!$AH$21</f>
        <v>0</v>
      </c>
      <c r="P159" s="538">
        <f>SUM(Q159:S159)</f>
        <v>40220</v>
      </c>
      <c r="Q159" s="539">
        <f>'[3]13. Sociálna starostlivosť'!$AI$21</f>
        <v>40220</v>
      </c>
      <c r="R159" s="539">
        <f>'[3]13. Sociálna starostlivosť'!$AJ$21</f>
        <v>0</v>
      </c>
      <c r="S159" s="540">
        <f>'[3]13. Sociálna starostlivosť'!$AK$21</f>
        <v>0</v>
      </c>
    </row>
    <row r="160" spans="1:19" ht="15.75" x14ac:dyDescent="0.25">
      <c r="A160" s="125"/>
      <c r="B160" s="269">
        <v>3</v>
      </c>
      <c r="C160" s="270" t="s">
        <v>351</v>
      </c>
      <c r="D160" s="538">
        <f>SUM(E160:G160)</f>
        <v>0</v>
      </c>
      <c r="E160" s="539">
        <f>'[1]13. Sociálna starostlivosť'!$AC$24</f>
        <v>0</v>
      </c>
      <c r="F160" s="539">
        <f>'[1]13. Sociálna starostlivosť'!$AD$24</f>
        <v>0</v>
      </c>
      <c r="G160" s="540">
        <f>'[1]13. Sociálna starostlivosť'!$AE$24</f>
        <v>0</v>
      </c>
      <c r="H160" s="538">
        <f>SUM(I160:K160)</f>
        <v>0</v>
      </c>
      <c r="I160" s="539">
        <f>'[2]13. Sociálna starostlivosť'!$AF$24</f>
        <v>0</v>
      </c>
      <c r="J160" s="539">
        <f>'[2]13. Sociálna starostlivosť'!$AG$24</f>
        <v>0</v>
      </c>
      <c r="K160" s="540">
        <f>'[2]13. Sociálna starostlivosť'!$AH$24</f>
        <v>0</v>
      </c>
      <c r="L160" s="258">
        <f>SUM(M160:O160)</f>
        <v>0</v>
      </c>
      <c r="M160" s="257">
        <f>'[3]13. Sociálna starostlivosť'!$AF$24</f>
        <v>0</v>
      </c>
      <c r="N160" s="257">
        <f>'[3]13. Sociálna starostlivosť'!$AG$24</f>
        <v>0</v>
      </c>
      <c r="O160" s="342">
        <f>'[3]13. Sociálna starostlivosť'!$AH$24</f>
        <v>0</v>
      </c>
      <c r="P160" s="538">
        <f>SUM(Q160:S160)</f>
        <v>0</v>
      </c>
      <c r="Q160" s="539">
        <f>'[3]13. Sociálna starostlivosť'!$AI$24</f>
        <v>0</v>
      </c>
      <c r="R160" s="539">
        <f>'[3]13. Sociálna starostlivosť'!$AJ$24</f>
        <v>0</v>
      </c>
      <c r="S160" s="540">
        <f>'[3]13. Sociálna starostlivosť'!$AK$24</f>
        <v>0</v>
      </c>
    </row>
    <row r="161" spans="1:19" ht="15.75" x14ac:dyDescent="0.25">
      <c r="A161" s="125"/>
      <c r="B161" s="269">
        <v>4</v>
      </c>
      <c r="C161" s="270" t="s">
        <v>352</v>
      </c>
      <c r="D161" s="538">
        <f>SUM(E161:G161)</f>
        <v>96748.27</v>
      </c>
      <c r="E161" s="539">
        <f>'[1]13. Sociálna starostlivosť'!$AC$26</f>
        <v>96748.27</v>
      </c>
      <c r="F161" s="539">
        <f>'[1]13. Sociálna starostlivosť'!$AD$26</f>
        <v>0</v>
      </c>
      <c r="G161" s="540">
        <f>'[1]13. Sociálna starostlivosť'!$AE$26</f>
        <v>0</v>
      </c>
      <c r="H161" s="538">
        <f>SUM(I161:K161)</f>
        <v>123476.92</v>
      </c>
      <c r="I161" s="539">
        <f>'[2]13. Sociálna starostlivosť'!$AF$26</f>
        <v>123476.92</v>
      </c>
      <c r="J161" s="539">
        <f>'[2]13. Sociálna starostlivosť'!$AG$26</f>
        <v>0</v>
      </c>
      <c r="K161" s="540">
        <f>'[2]13. Sociálna starostlivosť'!$AH$26</f>
        <v>0</v>
      </c>
      <c r="L161" s="258">
        <f>SUM(M161:O161)</f>
        <v>111730</v>
      </c>
      <c r="M161" s="257">
        <f>'[3]13. Sociálna starostlivosť'!$AF$26</f>
        <v>111730</v>
      </c>
      <c r="N161" s="257">
        <f>'[3]13. Sociálna starostlivosť'!$AG$26</f>
        <v>0</v>
      </c>
      <c r="O161" s="342">
        <f>'[3]13. Sociálna starostlivosť'!$AH$26</f>
        <v>0</v>
      </c>
      <c r="P161" s="538">
        <f>SUM(Q161:S161)</f>
        <v>111730</v>
      </c>
      <c r="Q161" s="539">
        <f>'[3]13. Sociálna starostlivosť'!$AI$26</f>
        <v>111730</v>
      </c>
      <c r="R161" s="539">
        <f>'[3]13. Sociálna starostlivosť'!$AJ$26</f>
        <v>0</v>
      </c>
      <c r="S161" s="540">
        <f>'[3]13. Sociálna starostlivosť'!$AK$26</f>
        <v>0</v>
      </c>
    </row>
    <row r="162" spans="1:19" ht="15.75" x14ac:dyDescent="0.25">
      <c r="A162" s="122"/>
      <c r="B162" s="281" t="s">
        <v>353</v>
      </c>
      <c r="C162" s="270" t="s">
        <v>354</v>
      </c>
      <c r="D162" s="538">
        <f t="shared" ref="D162:G162" si="190">SUM(D163:D166)</f>
        <v>1635011.0500000003</v>
      </c>
      <c r="E162" s="539">
        <f t="shared" si="190"/>
        <v>1625031.0500000003</v>
      </c>
      <c r="F162" s="539">
        <f t="shared" si="190"/>
        <v>9980</v>
      </c>
      <c r="G162" s="540">
        <f t="shared" si="190"/>
        <v>0</v>
      </c>
      <c r="H162" s="538">
        <f t="shared" ref="H162:K162" si="191">SUM(H163:H166)</f>
        <v>1705279.0099999998</v>
      </c>
      <c r="I162" s="539">
        <f t="shared" si="191"/>
        <v>1699909.2999999998</v>
      </c>
      <c r="J162" s="539">
        <f t="shared" si="191"/>
        <v>5369.71</v>
      </c>
      <c r="K162" s="540">
        <f t="shared" si="191"/>
        <v>0</v>
      </c>
      <c r="L162" s="258">
        <f t="shared" ref="L162:O162" si="192">SUM(L163:L166)</f>
        <v>1976915</v>
      </c>
      <c r="M162" s="257">
        <f t="shared" si="192"/>
        <v>1966915</v>
      </c>
      <c r="N162" s="257">
        <f t="shared" si="192"/>
        <v>10000</v>
      </c>
      <c r="O162" s="342">
        <f t="shared" si="192"/>
        <v>0</v>
      </c>
      <c r="P162" s="538">
        <f t="shared" ref="P162:S162" si="193">SUM(P163:P166)</f>
        <v>1857116.5</v>
      </c>
      <c r="Q162" s="539">
        <f t="shared" si="193"/>
        <v>1857116.5</v>
      </c>
      <c r="R162" s="539">
        <f t="shared" si="193"/>
        <v>0</v>
      </c>
      <c r="S162" s="540">
        <f t="shared" si="193"/>
        <v>0</v>
      </c>
    </row>
    <row r="163" spans="1:19" ht="15.75" x14ac:dyDescent="0.25">
      <c r="B163" s="269">
        <v>1</v>
      </c>
      <c r="C163" s="270" t="s">
        <v>355</v>
      </c>
      <c r="D163" s="538">
        <f>SUM(E163:G163)</f>
        <v>47260</v>
      </c>
      <c r="E163" s="539">
        <f>'[1]13. Sociálna starostlivosť'!$AC$30</f>
        <v>47260</v>
      </c>
      <c r="F163" s="539">
        <f>'[1]13. Sociálna starostlivosť'!$AD$30</f>
        <v>0</v>
      </c>
      <c r="G163" s="540">
        <f>'[1]13. Sociálna starostlivosť'!$AE$30</f>
        <v>0</v>
      </c>
      <c r="H163" s="538">
        <f>SUM(I163:K163)</f>
        <v>63120</v>
      </c>
      <c r="I163" s="539">
        <f>'[2]13. Sociálna starostlivosť'!$AF$30</f>
        <v>63120</v>
      </c>
      <c r="J163" s="539">
        <f>'[2]13. Sociálna starostlivosť'!$AG$30</f>
        <v>0</v>
      </c>
      <c r="K163" s="540">
        <f>'[2]13. Sociálna starostlivosť'!$AH$30</f>
        <v>0</v>
      </c>
      <c r="L163" s="258">
        <f>SUM(M163:O163)</f>
        <v>58820</v>
      </c>
      <c r="M163" s="257">
        <f>'[3]13. Sociálna starostlivosť'!$AF$30</f>
        <v>58820</v>
      </c>
      <c r="N163" s="257">
        <f>'[3]13. Sociálna starostlivosť'!$AG$30</f>
        <v>0</v>
      </c>
      <c r="O163" s="342">
        <f>'[3]13. Sociálna starostlivosť'!$AH$30</f>
        <v>0</v>
      </c>
      <c r="P163" s="538">
        <f>SUM(Q163:S163)</f>
        <v>58820</v>
      </c>
      <c r="Q163" s="539">
        <f>'[3]13. Sociálna starostlivosť'!$AI$30</f>
        <v>58820</v>
      </c>
      <c r="R163" s="539">
        <f>'[3]13. Sociálna starostlivosť'!$AJ$30</f>
        <v>0</v>
      </c>
      <c r="S163" s="540">
        <f>'[3]13. Sociálna starostlivosť'!$AK$30</f>
        <v>0</v>
      </c>
    </row>
    <row r="164" spans="1:19" ht="15.75" x14ac:dyDescent="0.25">
      <c r="B164" s="269">
        <v>2</v>
      </c>
      <c r="C164" s="270" t="s">
        <v>356</v>
      </c>
      <c r="D164" s="538">
        <f>SUM(E164:G164)</f>
        <v>0</v>
      </c>
      <c r="E164" s="539">
        <f>'[1]13. Sociálna starostlivosť'!$AC$33</f>
        <v>0</v>
      </c>
      <c r="F164" s="539">
        <f>'[1]13. Sociálna starostlivosť'!$AD$33</f>
        <v>0</v>
      </c>
      <c r="G164" s="540">
        <f>'[1]13. Sociálna starostlivosť'!$AE$33</f>
        <v>0</v>
      </c>
      <c r="H164" s="538">
        <f>SUM(I164:K164)</f>
        <v>0</v>
      </c>
      <c r="I164" s="539">
        <f>'[2]13. Sociálna starostlivosť'!$AF$33</f>
        <v>0</v>
      </c>
      <c r="J164" s="539">
        <f>'[2]13. Sociálna starostlivosť'!$AG$33</f>
        <v>0</v>
      </c>
      <c r="K164" s="540">
        <f>'[2]13. Sociálna starostlivosť'!$AH$33</f>
        <v>0</v>
      </c>
      <c r="L164" s="258">
        <f>SUM(M164:O164)</f>
        <v>0</v>
      </c>
      <c r="M164" s="257">
        <f>'[3]13. Sociálna starostlivosť'!$AF$33</f>
        <v>0</v>
      </c>
      <c r="N164" s="257">
        <f>'[3]13. Sociálna starostlivosť'!$AG$33</f>
        <v>0</v>
      </c>
      <c r="O164" s="342">
        <f>'[3]13. Sociálna starostlivosť'!$AH$33</f>
        <v>0</v>
      </c>
      <c r="P164" s="538">
        <f>SUM(Q164:S164)</f>
        <v>0</v>
      </c>
      <c r="Q164" s="539">
        <f>'[3]13. Sociálna starostlivosť'!$AI$33</f>
        <v>0</v>
      </c>
      <c r="R164" s="539">
        <f>'[3]13. Sociálna starostlivosť'!$AJ$33</f>
        <v>0</v>
      </c>
      <c r="S164" s="540">
        <f>'[3]13. Sociálna starostlivosť'!$AK$33</f>
        <v>0</v>
      </c>
    </row>
    <row r="165" spans="1:19" ht="15.75" x14ac:dyDescent="0.25">
      <c r="A165" s="125"/>
      <c r="B165" s="269">
        <v>3</v>
      </c>
      <c r="C165" s="270" t="s">
        <v>443</v>
      </c>
      <c r="D165" s="538">
        <f>SUM(E165:G165)</f>
        <v>1344594.9100000001</v>
      </c>
      <c r="E165" s="539">
        <f>'[1]13. Sociálna starostlivosť'!$AC$35</f>
        <v>1334614.9100000001</v>
      </c>
      <c r="F165" s="539">
        <f>'[1]13. Sociálna starostlivosť'!$AD$35</f>
        <v>9980</v>
      </c>
      <c r="G165" s="540">
        <f>'[1]13. Sociálna starostlivosť'!$AE$35</f>
        <v>0</v>
      </c>
      <c r="H165" s="538">
        <f>SUM(I165:K165)</f>
        <v>1395719.0099999998</v>
      </c>
      <c r="I165" s="539">
        <f>'[2]13. Sociálna starostlivosť'!$AF$35</f>
        <v>1390349.2999999998</v>
      </c>
      <c r="J165" s="539">
        <f>'[2]13. Sociálna starostlivosť'!$AG$35</f>
        <v>5369.71</v>
      </c>
      <c r="K165" s="540">
        <f>'[2]13. Sociálna starostlivosť'!$AH$35</f>
        <v>0</v>
      </c>
      <c r="L165" s="258">
        <f>SUM(M165:O165)</f>
        <v>1677935</v>
      </c>
      <c r="M165" s="257">
        <f>'[3]13. Sociálna starostlivosť'!$AF$35</f>
        <v>1667935</v>
      </c>
      <c r="N165" s="257">
        <f>'[3]13. Sociálna starostlivosť'!$AG$35</f>
        <v>10000</v>
      </c>
      <c r="O165" s="342">
        <f>'[3]13. Sociálna starostlivosť'!$AH$35</f>
        <v>0</v>
      </c>
      <c r="P165" s="538">
        <f>SUM(Q165:S165)</f>
        <v>1568441.01</v>
      </c>
      <c r="Q165" s="539">
        <f>'[3]13. Sociálna starostlivosť'!$AI$35</f>
        <v>1568441.01</v>
      </c>
      <c r="R165" s="539">
        <f>'[3]13. Sociálna starostlivosť'!$AJ$35</f>
        <v>0</v>
      </c>
      <c r="S165" s="540">
        <f>'[3]13. Sociálna starostlivosť'!$AK$35</f>
        <v>0</v>
      </c>
    </row>
    <row r="166" spans="1:19" ht="15.75" x14ac:dyDescent="0.25">
      <c r="A166" s="125"/>
      <c r="B166" s="269">
        <v>4</v>
      </c>
      <c r="C166" s="270" t="s">
        <v>444</v>
      </c>
      <c r="D166" s="538">
        <f>SUM(E166:G166)</f>
        <v>243156.14</v>
      </c>
      <c r="E166" s="539">
        <f>'[1]13. Sociálna starostlivosť'!$AC$50</f>
        <v>243156.14</v>
      </c>
      <c r="F166" s="539">
        <f>'[1]13. Sociálna starostlivosť'!$AD$50</f>
        <v>0</v>
      </c>
      <c r="G166" s="540">
        <f>'[1]13. Sociálna starostlivosť'!$AE$50</f>
        <v>0</v>
      </c>
      <c r="H166" s="538">
        <f>SUM(I166:K166)</f>
        <v>246440</v>
      </c>
      <c r="I166" s="539">
        <f>'[2]13. Sociálna starostlivosť'!$AF$50</f>
        <v>246440</v>
      </c>
      <c r="J166" s="539">
        <f>'[2]13. Sociálna starostlivosť'!$AG$50</f>
        <v>0</v>
      </c>
      <c r="K166" s="540">
        <f>'[2]13. Sociálna starostlivosť'!$AH$50</f>
        <v>0</v>
      </c>
      <c r="L166" s="258">
        <f>SUM(M166:O166)</f>
        <v>240160</v>
      </c>
      <c r="M166" s="257">
        <f>'[3]13. Sociálna starostlivosť'!$AF$50</f>
        <v>240160</v>
      </c>
      <c r="N166" s="257">
        <f>'[3]13. Sociálna starostlivosť'!$AG$50</f>
        <v>0</v>
      </c>
      <c r="O166" s="342">
        <f>'[3]13. Sociálna starostlivosť'!$AH$50</f>
        <v>0</v>
      </c>
      <c r="P166" s="538">
        <f>SUM(Q166:S166)</f>
        <v>229855.49</v>
      </c>
      <c r="Q166" s="539">
        <f>'[3]13. Sociálna starostlivosť'!$AI$50</f>
        <v>229855.49</v>
      </c>
      <c r="R166" s="539">
        <f>'[3]13. Sociálna starostlivosť'!$AJ$50</f>
        <v>0</v>
      </c>
      <c r="S166" s="540">
        <f>'[3]13. Sociálna starostlivosť'!$AK$50</f>
        <v>0</v>
      </c>
    </row>
    <row r="167" spans="1:19" ht="15.75" x14ac:dyDescent="0.25">
      <c r="B167" s="281" t="s">
        <v>358</v>
      </c>
      <c r="C167" s="270" t="s">
        <v>359</v>
      </c>
      <c r="D167" s="538">
        <f t="shared" ref="D167:G167" si="194">SUM(D168:D170)</f>
        <v>129255.63</v>
      </c>
      <c r="E167" s="539">
        <f t="shared" si="194"/>
        <v>112616.48999999999</v>
      </c>
      <c r="F167" s="539">
        <f t="shared" si="194"/>
        <v>16639.14</v>
      </c>
      <c r="G167" s="540">
        <f t="shared" si="194"/>
        <v>0</v>
      </c>
      <c r="H167" s="538">
        <f t="shared" ref="H167:K167" si="195">SUM(H168:H170)</f>
        <v>120560</v>
      </c>
      <c r="I167" s="539">
        <f t="shared" si="195"/>
        <v>120560</v>
      </c>
      <c r="J167" s="539">
        <f t="shared" si="195"/>
        <v>0</v>
      </c>
      <c r="K167" s="540">
        <f t="shared" si="195"/>
        <v>0</v>
      </c>
      <c r="L167" s="258">
        <f t="shared" ref="L167:O167" si="196">SUM(L168:L170)</f>
        <v>126900</v>
      </c>
      <c r="M167" s="257">
        <f t="shared" si="196"/>
        <v>126900</v>
      </c>
      <c r="N167" s="257">
        <f t="shared" si="196"/>
        <v>0</v>
      </c>
      <c r="O167" s="342">
        <f t="shared" si="196"/>
        <v>0</v>
      </c>
      <c r="P167" s="538">
        <f t="shared" ref="P167:S167" si="197">SUM(P168:P170)</f>
        <v>126900</v>
      </c>
      <c r="Q167" s="539">
        <f t="shared" si="197"/>
        <v>126900</v>
      </c>
      <c r="R167" s="539">
        <f t="shared" si="197"/>
        <v>0</v>
      </c>
      <c r="S167" s="540">
        <f t="shared" si="197"/>
        <v>0</v>
      </c>
    </row>
    <row r="168" spans="1:19" ht="15.75" x14ac:dyDescent="0.25">
      <c r="B168" s="269">
        <v>1</v>
      </c>
      <c r="C168" s="270" t="s">
        <v>360</v>
      </c>
      <c r="D168" s="538">
        <f>SUM(E168:G168)</f>
        <v>57974.51</v>
      </c>
      <c r="E168" s="539">
        <f>'[1]13. Sociálna starostlivosť'!$AC$55</f>
        <v>41335.370000000003</v>
      </c>
      <c r="F168" s="539">
        <f>'[1]13. Sociálna starostlivosť'!$AD$55</f>
        <v>16639.14</v>
      </c>
      <c r="G168" s="540">
        <f>'[1]13. Sociálna starostlivosť'!$AE$55</f>
        <v>0</v>
      </c>
      <c r="H168" s="538">
        <f>SUM(I168:K168)</f>
        <v>46770</v>
      </c>
      <c r="I168" s="539">
        <f>'[2]13. Sociálna starostlivosť'!$AF$55</f>
        <v>46770</v>
      </c>
      <c r="J168" s="539">
        <f>'[2]13. Sociálna starostlivosť'!$AG$55</f>
        <v>0</v>
      </c>
      <c r="K168" s="540">
        <f>'[2]13. Sociálna starostlivosť'!$AH$55</f>
        <v>0</v>
      </c>
      <c r="L168" s="258">
        <f>SUM(M168:O168)</f>
        <v>45000</v>
      </c>
      <c r="M168" s="257">
        <f>'[3]13. Sociálna starostlivosť'!$AF$55</f>
        <v>45000</v>
      </c>
      <c r="N168" s="257">
        <f>'[3]13. Sociálna starostlivosť'!$AG$55</f>
        <v>0</v>
      </c>
      <c r="O168" s="342">
        <f>'[3]13. Sociálna starostlivosť'!$AH$55</f>
        <v>0</v>
      </c>
      <c r="P168" s="538">
        <f>SUM(Q168:S168)</f>
        <v>45000</v>
      </c>
      <c r="Q168" s="539">
        <f>'[3]13. Sociálna starostlivosť'!$AI$55</f>
        <v>45000</v>
      </c>
      <c r="R168" s="539">
        <f>'[3]13. Sociálna starostlivosť'!$AJ$55</f>
        <v>0</v>
      </c>
      <c r="S168" s="540">
        <f>'[3]13. Sociálna starostlivosť'!$AK$55</f>
        <v>0</v>
      </c>
    </row>
    <row r="169" spans="1:19" ht="15.75" x14ac:dyDescent="0.25">
      <c r="B169" s="269">
        <v>2</v>
      </c>
      <c r="C169" s="270" t="s">
        <v>611</v>
      </c>
      <c r="D169" s="538">
        <f>SUM(E169:G169)</f>
        <v>0</v>
      </c>
      <c r="E169" s="539">
        <f>'[1]13. Sociálna starostlivosť'!$AC$59</f>
        <v>0</v>
      </c>
      <c r="F169" s="539">
        <f>'[1]13. Sociálna starostlivosť'!$AD$59</f>
        <v>0</v>
      </c>
      <c r="G169" s="540">
        <f>'[1]13. Sociálna starostlivosť'!$AE$59</f>
        <v>0</v>
      </c>
      <c r="H169" s="538">
        <f>SUM(I169:K169)</f>
        <v>2210</v>
      </c>
      <c r="I169" s="539">
        <f>'[2]13. Sociálna starostlivosť'!$AF$59</f>
        <v>2210</v>
      </c>
      <c r="J169" s="539">
        <f>'[2]13. Sociálna starostlivosť'!$AG$59</f>
        <v>0</v>
      </c>
      <c r="K169" s="540">
        <f>'[2]13. Sociálna starostlivosť'!$AH$59</f>
        <v>0</v>
      </c>
      <c r="L169" s="258">
        <f>SUM(M169:O169)</f>
        <v>5400</v>
      </c>
      <c r="M169" s="257">
        <f>'[3]13. Sociálna starostlivosť'!$AF$59</f>
        <v>5400</v>
      </c>
      <c r="N169" s="257">
        <f>'[3]13. Sociálna starostlivosť'!$AG$59</f>
        <v>0</v>
      </c>
      <c r="O169" s="342">
        <f>'[3]13. Sociálna starostlivosť'!$AH$59</f>
        <v>0</v>
      </c>
      <c r="P169" s="538">
        <f>SUM(Q169:S169)</f>
        <v>5400</v>
      </c>
      <c r="Q169" s="539">
        <f>'[3]13. Sociálna starostlivosť'!$AI$59</f>
        <v>5400</v>
      </c>
      <c r="R169" s="539">
        <f>'[3]13. Sociálna starostlivosť'!$AJ$59</f>
        <v>0</v>
      </c>
      <c r="S169" s="540">
        <f>'[3]13. Sociálna starostlivosť'!$AK$59</f>
        <v>0</v>
      </c>
    </row>
    <row r="170" spans="1:19" ht="15.75" x14ac:dyDescent="0.25">
      <c r="B170" s="269">
        <v>3</v>
      </c>
      <c r="C170" s="270" t="s">
        <v>362</v>
      </c>
      <c r="D170" s="538">
        <f>SUM(E170:G170)</f>
        <v>71281.119999999995</v>
      </c>
      <c r="E170" s="539">
        <f>'[1]13. Sociálna starostlivosť'!$AC$62</f>
        <v>71281.119999999995</v>
      </c>
      <c r="F170" s="539">
        <f>'[1]13. Sociálna starostlivosť'!$AD$62</f>
        <v>0</v>
      </c>
      <c r="G170" s="540">
        <f>'[1]13. Sociálna starostlivosť'!$AE$62</f>
        <v>0</v>
      </c>
      <c r="H170" s="538">
        <f>SUM(I170:K170)</f>
        <v>71580</v>
      </c>
      <c r="I170" s="539">
        <f>'[2]13. Sociálna starostlivosť'!$AF$62</f>
        <v>71580</v>
      </c>
      <c r="J170" s="539">
        <f>'[2]13. Sociálna starostlivosť'!$AG$62</f>
        <v>0</v>
      </c>
      <c r="K170" s="540">
        <f>'[2]13. Sociálna starostlivosť'!$AH$62</f>
        <v>0</v>
      </c>
      <c r="L170" s="258">
        <f>SUM(M170:O170)</f>
        <v>76500</v>
      </c>
      <c r="M170" s="257">
        <f>'[3]13. Sociálna starostlivosť'!$AF$62</f>
        <v>76500</v>
      </c>
      <c r="N170" s="257">
        <f>'[3]13. Sociálna starostlivosť'!$AG$62</f>
        <v>0</v>
      </c>
      <c r="O170" s="342">
        <f>'[3]13. Sociálna starostlivosť'!$AH$62</f>
        <v>0</v>
      </c>
      <c r="P170" s="538">
        <f>SUM(Q170:S170)</f>
        <v>76500</v>
      </c>
      <c r="Q170" s="539">
        <f>'[3]13. Sociálna starostlivosť'!$AI$62</f>
        <v>76500</v>
      </c>
      <c r="R170" s="539">
        <f>'[3]13. Sociálna starostlivosť'!$AJ$62</f>
        <v>0</v>
      </c>
      <c r="S170" s="540">
        <f>'[3]13. Sociálna starostlivosť'!$AK$62</f>
        <v>0</v>
      </c>
    </row>
    <row r="171" spans="1:19" ht="15.75" x14ac:dyDescent="0.25">
      <c r="B171" s="281" t="s">
        <v>363</v>
      </c>
      <c r="C171" s="270" t="s">
        <v>364</v>
      </c>
      <c r="D171" s="538">
        <f>SUM(E171:G171)</f>
        <v>6760</v>
      </c>
      <c r="E171" s="539">
        <f>'[1]13. Sociálna starostlivosť'!$AC$65</f>
        <v>6760</v>
      </c>
      <c r="F171" s="539">
        <f>'[1]13. Sociálna starostlivosť'!$AD$65</f>
        <v>0</v>
      </c>
      <c r="G171" s="540">
        <f>'[1]13. Sociálna starostlivosť'!$AE$65</f>
        <v>0</v>
      </c>
      <c r="H171" s="538">
        <f>SUM(I171:K171)</f>
        <v>7970</v>
      </c>
      <c r="I171" s="539">
        <f>'[2]13. Sociálna starostlivosť'!$AF$65</f>
        <v>7970</v>
      </c>
      <c r="J171" s="539">
        <f>'[2]13. Sociálna starostlivosť'!$AG$65</f>
        <v>0</v>
      </c>
      <c r="K171" s="540">
        <f>'[2]13. Sociálna starostlivosť'!$AH$65</f>
        <v>0</v>
      </c>
      <c r="L171" s="258">
        <f>SUM(M171:O171)</f>
        <v>8120</v>
      </c>
      <c r="M171" s="257">
        <f>'[3]13. Sociálna starostlivosť'!$AF$65</f>
        <v>8120</v>
      </c>
      <c r="N171" s="257">
        <f>'[3]13. Sociálna starostlivosť'!$AG$65</f>
        <v>0</v>
      </c>
      <c r="O171" s="342">
        <f>'[3]13. Sociálna starostlivosť'!$AH$65</f>
        <v>0</v>
      </c>
      <c r="P171" s="538">
        <f>SUM(Q171:S171)</f>
        <v>8120</v>
      </c>
      <c r="Q171" s="539">
        <f>'[3]13. Sociálna starostlivosť'!$AI$65</f>
        <v>8120</v>
      </c>
      <c r="R171" s="539">
        <f>'[3]13. Sociálna starostlivosť'!$AJ$65</f>
        <v>0</v>
      </c>
      <c r="S171" s="540">
        <f>'[3]13. Sociálna starostlivosť'!$AK$65</f>
        <v>0</v>
      </c>
    </row>
    <row r="172" spans="1:19" ht="15.75" x14ac:dyDescent="0.25">
      <c r="A172" s="124"/>
      <c r="B172" s="281" t="s">
        <v>365</v>
      </c>
      <c r="C172" s="270" t="s">
        <v>366</v>
      </c>
      <c r="D172" s="538">
        <f>SUM(E172:G172)</f>
        <v>1002.4</v>
      </c>
      <c r="E172" s="539">
        <f>'[1]13. Sociálna starostlivosť'!$AC$67</f>
        <v>1002.4</v>
      </c>
      <c r="F172" s="539">
        <f>'[1]13. Sociálna starostlivosť'!$AD$67</f>
        <v>0</v>
      </c>
      <c r="G172" s="540">
        <f>'[1]13. Sociálna starostlivosť'!$AE$67</f>
        <v>0</v>
      </c>
      <c r="H172" s="538">
        <f>SUM(I172:K172)</f>
        <v>233.15</v>
      </c>
      <c r="I172" s="539">
        <f>'[2]13. Sociálna starostlivosť'!$AF$67</f>
        <v>233.15</v>
      </c>
      <c r="J172" s="539">
        <f>'[2]13. Sociálna starostlivosť'!$AG$67</f>
        <v>0</v>
      </c>
      <c r="K172" s="540">
        <f>'[2]13. Sociálna starostlivosť'!$AH$67</f>
        <v>0</v>
      </c>
      <c r="L172" s="258">
        <f>SUM(M172:O172)</f>
        <v>1000</v>
      </c>
      <c r="M172" s="257">
        <f>'[3]13. Sociálna starostlivosť'!$AF$67</f>
        <v>1000</v>
      </c>
      <c r="N172" s="257">
        <f>'[3]13. Sociálna starostlivosť'!$AG$67</f>
        <v>0</v>
      </c>
      <c r="O172" s="342">
        <f>'[3]13. Sociálna starostlivosť'!$AH$67</f>
        <v>0</v>
      </c>
      <c r="P172" s="538">
        <f>SUM(Q172:S172)</f>
        <v>73.95</v>
      </c>
      <c r="Q172" s="539">
        <f>'[3]13. Sociálna starostlivosť'!$AI$67</f>
        <v>73.95</v>
      </c>
      <c r="R172" s="539">
        <f>'[3]13. Sociálna starostlivosť'!$AJ$67</f>
        <v>0</v>
      </c>
      <c r="S172" s="540">
        <f>'[3]13. Sociálna starostlivosť'!$AK$67</f>
        <v>0</v>
      </c>
    </row>
    <row r="173" spans="1:19" ht="15.75" x14ac:dyDescent="0.25">
      <c r="B173" s="292" t="s">
        <v>367</v>
      </c>
      <c r="C173" s="286" t="s">
        <v>368</v>
      </c>
      <c r="D173" s="538">
        <f t="shared" ref="D173:G173" si="198">SUM(D174)</f>
        <v>38666.35</v>
      </c>
      <c r="E173" s="539">
        <f t="shared" si="198"/>
        <v>38666.35</v>
      </c>
      <c r="F173" s="539">
        <f t="shared" si="198"/>
        <v>0</v>
      </c>
      <c r="G173" s="540">
        <f t="shared" si="198"/>
        <v>0</v>
      </c>
      <c r="H173" s="538">
        <f t="shared" ref="H173:S173" si="199">SUM(H174)</f>
        <v>42884.000000000007</v>
      </c>
      <c r="I173" s="539">
        <f t="shared" si="199"/>
        <v>42884.000000000007</v>
      </c>
      <c r="J173" s="539">
        <f t="shared" si="199"/>
        <v>0</v>
      </c>
      <c r="K173" s="540">
        <f t="shared" si="199"/>
        <v>0</v>
      </c>
      <c r="L173" s="258">
        <f t="shared" si="199"/>
        <v>48330</v>
      </c>
      <c r="M173" s="257">
        <f t="shared" si="199"/>
        <v>48330</v>
      </c>
      <c r="N173" s="257">
        <f t="shared" si="199"/>
        <v>0</v>
      </c>
      <c r="O173" s="342">
        <f t="shared" si="199"/>
        <v>0</v>
      </c>
      <c r="P173" s="538">
        <f t="shared" si="199"/>
        <v>45253.62</v>
      </c>
      <c r="Q173" s="539">
        <f t="shared" si="199"/>
        <v>45253.62</v>
      </c>
      <c r="R173" s="539">
        <f t="shared" si="199"/>
        <v>0</v>
      </c>
      <c r="S173" s="540">
        <f t="shared" si="199"/>
        <v>0</v>
      </c>
    </row>
    <row r="174" spans="1:19" ht="15.75" x14ac:dyDescent="0.25">
      <c r="B174" s="293">
        <v>1</v>
      </c>
      <c r="C174" s="294" t="s">
        <v>369</v>
      </c>
      <c r="D174" s="538">
        <f>SUM(E174:G174)</f>
        <v>38666.35</v>
      </c>
      <c r="E174" s="539">
        <f>'[1]13. Sociálna starostlivosť'!$AC$79</f>
        <v>38666.35</v>
      </c>
      <c r="F174" s="539">
        <f>'[1]13. Sociálna starostlivosť'!$AD$79</f>
        <v>0</v>
      </c>
      <c r="G174" s="540">
        <f>'[1]13. Sociálna starostlivosť'!$AE$79</f>
        <v>0</v>
      </c>
      <c r="H174" s="538">
        <f>SUM(I174:K174)</f>
        <v>42884.000000000007</v>
      </c>
      <c r="I174" s="539">
        <f>'[2]13. Sociálna starostlivosť'!$AF$79</f>
        <v>42884.000000000007</v>
      </c>
      <c r="J174" s="539">
        <f>'[2]13. Sociálna starostlivosť'!$AG$79</f>
        <v>0</v>
      </c>
      <c r="K174" s="540">
        <f>'[2]13. Sociálna starostlivosť'!$AH$79</f>
        <v>0</v>
      </c>
      <c r="L174" s="258">
        <f>SUM(M174:O174)</f>
        <v>48330</v>
      </c>
      <c r="M174" s="257">
        <f>'[3]13. Sociálna starostlivosť'!$AF$79</f>
        <v>48330</v>
      </c>
      <c r="N174" s="257">
        <f>'[3]13. Sociálna starostlivosť'!$AG$79</f>
        <v>0</v>
      </c>
      <c r="O174" s="342">
        <f>'[3]13. Sociálna starostlivosť'!$AH$79</f>
        <v>0</v>
      </c>
      <c r="P174" s="538">
        <f>SUM(Q174:S174)</f>
        <v>45253.62</v>
      </c>
      <c r="Q174" s="539">
        <f>'[3]13. Sociálna starostlivosť'!$AI$79</f>
        <v>45253.62</v>
      </c>
      <c r="R174" s="539">
        <f>'[3]13. Sociálna starostlivosť'!$AJ$79</f>
        <v>0</v>
      </c>
      <c r="S174" s="540">
        <f>'[3]13. Sociálna starostlivosť'!$AK$79</f>
        <v>0</v>
      </c>
    </row>
    <row r="175" spans="1:19" ht="15.75" x14ac:dyDescent="0.25">
      <c r="A175" s="124"/>
      <c r="B175" s="295" t="s">
        <v>370</v>
      </c>
      <c r="C175" s="294" t="s">
        <v>371</v>
      </c>
      <c r="D175" s="538">
        <f>SUM(E175:G175)</f>
        <v>15651.7</v>
      </c>
      <c r="E175" s="539">
        <f>'[1]13. Sociálna starostlivosť'!$AC$104</f>
        <v>15651.7</v>
      </c>
      <c r="F175" s="539">
        <f>'[1]13. Sociálna starostlivosť'!$AD$104</f>
        <v>0</v>
      </c>
      <c r="G175" s="540">
        <f>'[1]13. Sociálna starostlivosť'!$AE$104</f>
        <v>0</v>
      </c>
      <c r="H175" s="538">
        <f>SUM(I175:K175)</f>
        <v>16213.8</v>
      </c>
      <c r="I175" s="539">
        <f>'[2]13. Sociálna starostlivosť'!$AF$104</f>
        <v>16213.8</v>
      </c>
      <c r="J175" s="539">
        <f>'[2]13. Sociálna starostlivosť'!$AG$104</f>
        <v>0</v>
      </c>
      <c r="K175" s="540">
        <f>'[2]13. Sociálna starostlivosť'!$AH$104</f>
        <v>0</v>
      </c>
      <c r="L175" s="258">
        <f>SUM(M175:O175)</f>
        <v>22800</v>
      </c>
      <c r="M175" s="257">
        <f>'[3]13. Sociálna starostlivosť'!$AF$104</f>
        <v>22800</v>
      </c>
      <c r="N175" s="257">
        <f>'[3]13. Sociálna starostlivosť'!$AG$104</f>
        <v>0</v>
      </c>
      <c r="O175" s="342">
        <f>'[3]13. Sociálna starostlivosť'!$AH$104</f>
        <v>0</v>
      </c>
      <c r="P175" s="538">
        <f>SUM(Q175:S175)</f>
        <v>20795.689999999999</v>
      </c>
      <c r="Q175" s="539">
        <f>'[3]13. Sociálna starostlivosť'!$AI$104</f>
        <v>20795.689999999999</v>
      </c>
      <c r="R175" s="539">
        <f>'[3]13. Sociálna starostlivosť'!$AJ$104</f>
        <v>0</v>
      </c>
      <c r="S175" s="540">
        <f>'[3]13. Sociálna starostlivosť'!$AK$104</f>
        <v>0</v>
      </c>
    </row>
    <row r="176" spans="1:19" ht="15.75" x14ac:dyDescent="0.25">
      <c r="A176" s="124"/>
      <c r="B176" s="422" t="s">
        <v>603</v>
      </c>
      <c r="C176" s="423" t="s">
        <v>394</v>
      </c>
      <c r="D176" s="538">
        <f>SUM(E176:G176)</f>
        <v>150066.79</v>
      </c>
      <c r="E176" s="539">
        <f>'[1]13. Sociálna starostlivosť'!$AC$106</f>
        <v>150066.79</v>
      </c>
      <c r="F176" s="539">
        <f>'[1]13. Sociálna starostlivosť'!$AD$106</f>
        <v>0</v>
      </c>
      <c r="G176" s="540">
        <f>'[1]13. Sociálna starostlivosť'!$AE$106</f>
        <v>0</v>
      </c>
      <c r="H176" s="538">
        <f>SUM(I176:K176)</f>
        <v>174151.14</v>
      </c>
      <c r="I176" s="539">
        <f>'[2]13. Sociálna starostlivosť'!$AF$106</f>
        <v>174151.14</v>
      </c>
      <c r="J176" s="539">
        <f>'[2]13. Sociálna starostlivosť'!$AG$106</f>
        <v>0</v>
      </c>
      <c r="K176" s="540">
        <f>'[2]13. Sociálna starostlivosť'!$AH$106</f>
        <v>0</v>
      </c>
      <c r="L176" s="258">
        <f>SUM(M176:O176)</f>
        <v>315170</v>
      </c>
      <c r="M176" s="257">
        <f>'[3]13. Sociálna starostlivosť'!$AF$106</f>
        <v>315170</v>
      </c>
      <c r="N176" s="257">
        <f>'[3]13. Sociálna starostlivosť'!$AG$106</f>
        <v>0</v>
      </c>
      <c r="O176" s="342">
        <f>'[3]13. Sociálna starostlivosť'!$AH$106</f>
        <v>0</v>
      </c>
      <c r="P176" s="538">
        <f>SUM(Q176:S176)</f>
        <v>314250.81999999995</v>
      </c>
      <c r="Q176" s="539">
        <f>'[3]13. Sociálna starostlivosť'!$AI$106</f>
        <v>314250.81999999995</v>
      </c>
      <c r="R176" s="539">
        <f>'[3]13. Sociálna starostlivosť'!$AJ$106</f>
        <v>0</v>
      </c>
      <c r="S176" s="540">
        <f>'[3]13. Sociálna starostlivosť'!$AK$106</f>
        <v>0</v>
      </c>
    </row>
    <row r="177" spans="1:19" ht="16.5" thickBot="1" x14ac:dyDescent="0.3">
      <c r="A177" s="124"/>
      <c r="B177" s="283" t="s">
        <v>602</v>
      </c>
      <c r="C177" s="350" t="s">
        <v>604</v>
      </c>
      <c r="D177" s="538">
        <f>SUM(E177:G177)</f>
        <v>558308.37</v>
      </c>
      <c r="E177" s="539">
        <f>'[1]13. Sociálna starostlivosť'!$AC$112</f>
        <v>558308.37</v>
      </c>
      <c r="F177" s="539">
        <f>'[1]13. Sociálna starostlivosť'!$AD$112</f>
        <v>0</v>
      </c>
      <c r="G177" s="540">
        <f>'[1]13. Sociálna starostlivosť'!$AE$112</f>
        <v>0</v>
      </c>
      <c r="H177" s="538">
        <f>SUM(I177:K177)</f>
        <v>527509.80000000005</v>
      </c>
      <c r="I177" s="539">
        <f>'[2]13. Sociálna starostlivosť'!$AF$112</f>
        <v>523080</v>
      </c>
      <c r="J177" s="539">
        <f>'[2]13. Sociálna starostlivosť'!$AG$112</f>
        <v>0</v>
      </c>
      <c r="K177" s="540">
        <f>'[2]13. Sociálna starostlivosť'!$AH$112</f>
        <v>4429.8</v>
      </c>
      <c r="L177" s="258">
        <f>SUM(M177:O177)</f>
        <v>139420</v>
      </c>
      <c r="M177" s="257">
        <f>'[3]13. Sociálna starostlivosť'!$AF$112</f>
        <v>139420</v>
      </c>
      <c r="N177" s="257">
        <f>'[3]13. Sociálna starostlivosť'!$AG$112</f>
        <v>0</v>
      </c>
      <c r="O177" s="342">
        <f>'[3]13. Sociálna starostlivosť'!$AH$112</f>
        <v>0</v>
      </c>
      <c r="P177" s="538">
        <f>SUM(Q177:S177)</f>
        <v>112170</v>
      </c>
      <c r="Q177" s="539">
        <f>'[3]13. Sociálna starostlivosť'!$AI$112</f>
        <v>112170</v>
      </c>
      <c r="R177" s="539">
        <f>'[3]13. Sociálna starostlivosť'!$AJ$112</f>
        <v>0</v>
      </c>
      <c r="S177" s="540">
        <f>'[3]13. Sociálna starostlivosť'!$AK$112</f>
        <v>0</v>
      </c>
    </row>
    <row r="178" spans="1:19" s="123" customFormat="1" ht="17.25" thickBot="1" x14ac:dyDescent="0.35">
      <c r="A178" s="125"/>
      <c r="B178" s="296" t="s">
        <v>372</v>
      </c>
      <c r="C178" s="297"/>
      <c r="D178" s="546">
        <f>SUM(E178:G178)</f>
        <v>817380.17999999993</v>
      </c>
      <c r="E178" s="547">
        <f>'[1]14. Bývanie'!$AC$24</f>
        <v>602396.80999999994</v>
      </c>
      <c r="F178" s="547">
        <f>'[1]14. Bývanie'!$AD$24</f>
        <v>0</v>
      </c>
      <c r="G178" s="548">
        <f>'[1]14. Bývanie'!$AE$24</f>
        <v>214983.36999999997</v>
      </c>
      <c r="H178" s="546">
        <f>SUM(I178:K178)</f>
        <v>835057.74</v>
      </c>
      <c r="I178" s="547">
        <f>'[2]14. Bývanie'!$AF$24</f>
        <v>612564.55999999994</v>
      </c>
      <c r="J178" s="547">
        <f>'[2]14. Bývanie'!$AG$24</f>
        <v>0</v>
      </c>
      <c r="K178" s="548">
        <f>'[2]14. Bývanie'!$AH$24</f>
        <v>222493.18000000002</v>
      </c>
      <c r="L178" s="418">
        <f>SUM(M178:O178)</f>
        <v>857645</v>
      </c>
      <c r="M178" s="419">
        <f>'[3]14. Bývanie'!$AF$24</f>
        <v>639645</v>
      </c>
      <c r="N178" s="419">
        <f>'[3]14. Bývanie'!$AG$24</f>
        <v>0</v>
      </c>
      <c r="O178" s="622">
        <f>'[3]14. Bývanie'!$AH$24</f>
        <v>218000</v>
      </c>
      <c r="P178" s="546">
        <f>SUM(Q178:S178)</f>
        <v>528374.38</v>
      </c>
      <c r="Q178" s="547">
        <f>'[3]14. Bývanie'!$AI$24</f>
        <v>301969.36</v>
      </c>
      <c r="R178" s="547">
        <f>'[3]14. Bývanie'!$AJ$24</f>
        <v>0</v>
      </c>
      <c r="S178" s="548">
        <f>'[3]14. Bývanie'!$AK$24</f>
        <v>226405.02</v>
      </c>
    </row>
    <row r="179" spans="1:19" s="123" customFormat="1" ht="15.75" x14ac:dyDescent="0.25">
      <c r="A179" s="125"/>
      <c r="B179" s="273" t="s">
        <v>373</v>
      </c>
      <c r="C179" s="280"/>
      <c r="D179" s="535">
        <f t="shared" ref="D179:G179" si="200">SUM(D180:D182)</f>
        <v>5986346.2800000003</v>
      </c>
      <c r="E179" s="536">
        <f t="shared" si="200"/>
        <v>2479386.9</v>
      </c>
      <c r="F179" s="536">
        <f t="shared" si="200"/>
        <v>821848.39</v>
      </c>
      <c r="G179" s="537">
        <f t="shared" si="200"/>
        <v>2685110.99</v>
      </c>
      <c r="H179" s="535">
        <f t="shared" ref="H179:K179" si="201">SUM(H180:H182)</f>
        <v>7730013.1600000001</v>
      </c>
      <c r="I179" s="536">
        <f t="shared" si="201"/>
        <v>2734352.03</v>
      </c>
      <c r="J179" s="536">
        <f t="shared" si="201"/>
        <v>4273.2</v>
      </c>
      <c r="K179" s="537">
        <f t="shared" si="201"/>
        <v>4991387.93</v>
      </c>
      <c r="L179" s="263">
        <f t="shared" ref="L179:O179" si="202">SUM(L180:L182)</f>
        <v>4596728</v>
      </c>
      <c r="M179" s="264">
        <f t="shared" si="202"/>
        <v>3409078</v>
      </c>
      <c r="N179" s="264">
        <f t="shared" si="202"/>
        <v>126450</v>
      </c>
      <c r="O179" s="341">
        <f t="shared" si="202"/>
        <v>1061200</v>
      </c>
      <c r="P179" s="535">
        <f t="shared" ref="P179:S179" si="203">SUM(P180:P182)</f>
        <v>3833203.1499999994</v>
      </c>
      <c r="Q179" s="536">
        <f t="shared" si="203"/>
        <v>3216265.7499999995</v>
      </c>
      <c r="R179" s="536">
        <f t="shared" si="203"/>
        <v>56803.4</v>
      </c>
      <c r="S179" s="537">
        <f t="shared" si="203"/>
        <v>560134</v>
      </c>
    </row>
    <row r="180" spans="1:19" ht="15.75" x14ac:dyDescent="0.25">
      <c r="B180" s="295" t="s">
        <v>414</v>
      </c>
      <c r="C180" s="294" t="s">
        <v>419</v>
      </c>
      <c r="D180" s="538">
        <f>SUM(E180:G180)</f>
        <v>3104583.59</v>
      </c>
      <c r="E180" s="539">
        <f>'[1]15. Administratíva'!$AC$4</f>
        <v>2282735.1999999997</v>
      </c>
      <c r="F180" s="539">
        <f>'[1]15. Administratíva'!$AD$4</f>
        <v>821848.39</v>
      </c>
      <c r="G180" s="540">
        <f>'[1]15. Administratíva'!$AE$4</f>
        <v>0</v>
      </c>
      <c r="H180" s="538">
        <f>SUM(I180:K180)</f>
        <v>2442249.58</v>
      </c>
      <c r="I180" s="539">
        <f>'[2]15. Administratíva'!$AF$4</f>
        <v>2437976.38</v>
      </c>
      <c r="J180" s="539">
        <f>'[2]15. Administratíva'!$AG$4</f>
        <v>4273.2</v>
      </c>
      <c r="K180" s="540">
        <f>'[2]15. Administratíva'!$AH$4</f>
        <v>0</v>
      </c>
      <c r="L180" s="258">
        <f>SUM(M180:O180)</f>
        <v>2826439</v>
      </c>
      <c r="M180" s="257">
        <f>'[3]15. Administratíva'!$AF$4</f>
        <v>2733939</v>
      </c>
      <c r="N180" s="257">
        <f>'[3]15. Administratíva'!$AG$4</f>
        <v>92500</v>
      </c>
      <c r="O180" s="342">
        <f>'[3]15. Administratíva'!$AH$4</f>
        <v>0</v>
      </c>
      <c r="P180" s="538">
        <f>SUM(Q180:S180)</f>
        <v>2625858.2899999991</v>
      </c>
      <c r="Q180" s="539">
        <f>'[3]15. Administratíva'!$AI$4</f>
        <v>2603004.8899999992</v>
      </c>
      <c r="R180" s="539">
        <f>'[3]15. Administratíva'!$AJ$4</f>
        <v>22853.4</v>
      </c>
      <c r="S180" s="540">
        <f>'[3]15. Administratíva'!$AK$4</f>
        <v>0</v>
      </c>
    </row>
    <row r="181" spans="1:19" ht="15.75" x14ac:dyDescent="0.25">
      <c r="B181" s="295" t="s">
        <v>415</v>
      </c>
      <c r="C181" s="294" t="s">
        <v>417</v>
      </c>
      <c r="D181" s="538">
        <f>SUM(E181:G181)</f>
        <v>0</v>
      </c>
      <c r="E181" s="539">
        <f>'[1]15. Administratíva'!$AC$102</f>
        <v>0</v>
      </c>
      <c r="F181" s="539">
        <f>'[1]15. Administratíva'!$AD$102</f>
        <v>0</v>
      </c>
      <c r="G181" s="540">
        <f>'[1]15. Administratíva'!$AE$102</f>
        <v>0</v>
      </c>
      <c r="H181" s="538">
        <f>SUM(I181:K181)</f>
        <v>0</v>
      </c>
      <c r="I181" s="539">
        <f>'[2]15. Administratíva'!$AF$102</f>
        <v>0</v>
      </c>
      <c r="J181" s="539">
        <f>'[2]15. Administratíva'!$AG$102</f>
        <v>0</v>
      </c>
      <c r="K181" s="540">
        <f>'[2]15. Administratíva'!$AH$102</f>
        <v>0</v>
      </c>
      <c r="L181" s="258">
        <f>SUM(M181:O181)</f>
        <v>486464</v>
      </c>
      <c r="M181" s="257">
        <f>'[3]15. Administratíva'!$AF$102</f>
        <v>452514</v>
      </c>
      <c r="N181" s="257">
        <f>'[3]15. Administratíva'!$AG$102</f>
        <v>33950</v>
      </c>
      <c r="O181" s="342">
        <f>'[3]15. Administratíva'!$AH$102</f>
        <v>0</v>
      </c>
      <c r="P181" s="538">
        <f>SUM(Q181:S181)</f>
        <v>486452.95</v>
      </c>
      <c r="Q181" s="539">
        <f>'[3]15. Administratíva'!$AI$102</f>
        <v>452502.95</v>
      </c>
      <c r="R181" s="539">
        <f>'[3]15. Administratíva'!$AJ$102</f>
        <v>33950</v>
      </c>
      <c r="S181" s="540">
        <f>'[3]15. Administratíva'!$AK$102</f>
        <v>0</v>
      </c>
    </row>
    <row r="182" spans="1:19" ht="16.5" thickBot="1" x14ac:dyDescent="0.3">
      <c r="A182" s="124"/>
      <c r="B182" s="298" t="s">
        <v>416</v>
      </c>
      <c r="C182" s="294" t="s">
        <v>418</v>
      </c>
      <c r="D182" s="549">
        <f>SUM(E182:G182)</f>
        <v>2881762.6900000004</v>
      </c>
      <c r="E182" s="550">
        <f>'[1]15. Administratíva'!$AC$103</f>
        <v>196651.7</v>
      </c>
      <c r="F182" s="550">
        <f>'[1]15. Administratíva'!$AD$103</f>
        <v>0</v>
      </c>
      <c r="G182" s="551">
        <f>'[1]15. Administratíva'!$AE$103</f>
        <v>2685110.99</v>
      </c>
      <c r="H182" s="549">
        <f>SUM(I182:K182)</f>
        <v>5287763.58</v>
      </c>
      <c r="I182" s="550">
        <f>'[2]15. Administratíva'!$AF$103</f>
        <v>296375.65000000002</v>
      </c>
      <c r="J182" s="550">
        <f>'[2]15. Administratíva'!$AG$103</f>
        <v>0</v>
      </c>
      <c r="K182" s="551">
        <f>'[2]15. Administratíva'!$AH$103</f>
        <v>4991387.93</v>
      </c>
      <c r="L182" s="261">
        <f>SUM(M182:O182)</f>
        <v>1283825</v>
      </c>
      <c r="M182" s="262">
        <f>'[3]15. Administratíva'!$AF$103</f>
        <v>222625</v>
      </c>
      <c r="N182" s="262">
        <f>'[3]15. Administratíva'!$AG$103</f>
        <v>0</v>
      </c>
      <c r="O182" s="623">
        <f>'[3]15. Administratíva'!$AH$103</f>
        <v>1061200</v>
      </c>
      <c r="P182" s="549">
        <f>SUM(Q182:S182)</f>
        <v>720891.91</v>
      </c>
      <c r="Q182" s="550">
        <f>'[3]15. Administratíva'!$AI$103</f>
        <v>160757.91</v>
      </c>
      <c r="R182" s="550">
        <f>'[3]15. Administratíva'!$AJ$103</f>
        <v>0</v>
      </c>
      <c r="S182" s="551">
        <f>'[3]15. Administratíva'!$AK$103</f>
        <v>560134</v>
      </c>
    </row>
    <row r="185" spans="1:19" x14ac:dyDescent="0.2">
      <c r="A185" s="124"/>
    </row>
    <row r="191" spans="1:19" x14ac:dyDescent="0.2">
      <c r="A191" s="124"/>
    </row>
    <row r="192" spans="1:19" x14ac:dyDescent="0.2">
      <c r="A192" s="124"/>
    </row>
    <row r="194" spans="1:1" x14ac:dyDescent="0.2">
      <c r="A194" s="102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24"/>
    </row>
  </sheetData>
  <sheetProtection selectLockedCells="1" selectUnlockedCells="1"/>
  <mergeCells count="6">
    <mergeCell ref="B1:S2"/>
    <mergeCell ref="H3:K4"/>
    <mergeCell ref="B4:C5"/>
    <mergeCell ref="D3:G4"/>
    <mergeCell ref="L3:O4"/>
    <mergeCell ref="P3:S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58" t="s">
        <v>393</v>
      </c>
      <c r="B1" s="758"/>
      <c r="C1" s="758"/>
      <c r="D1" s="758"/>
      <c r="E1" s="758"/>
      <c r="F1" s="758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64" t="s">
        <v>132</v>
      </c>
      <c r="E5" s="764"/>
      <c r="F5" s="764"/>
      <c r="G5" s="764"/>
      <c r="H5" s="765" t="s">
        <v>133</v>
      </c>
      <c r="I5" s="765"/>
      <c r="J5" s="765"/>
      <c r="K5" s="765"/>
      <c r="L5" s="759" t="s">
        <v>2</v>
      </c>
      <c r="M5" s="759"/>
      <c r="N5" s="759"/>
      <c r="O5" s="759"/>
      <c r="P5" s="759" t="s">
        <v>391</v>
      </c>
      <c r="Q5" s="759"/>
      <c r="R5" s="759"/>
      <c r="S5" s="759"/>
      <c r="T5" s="759" t="s">
        <v>387</v>
      </c>
      <c r="U5" s="759"/>
      <c r="V5" s="759"/>
      <c r="W5" s="759"/>
    </row>
    <row r="6" spans="1:23" ht="12.75" customHeight="1" thickBot="1" x14ac:dyDescent="0.25">
      <c r="A6" s="61"/>
      <c r="B6" s="761" t="s">
        <v>134</v>
      </c>
      <c r="C6" s="761"/>
      <c r="D6" s="129" t="s">
        <v>135</v>
      </c>
      <c r="E6" s="762" t="s">
        <v>136</v>
      </c>
      <c r="F6" s="762"/>
      <c r="G6" s="762"/>
      <c r="H6" s="129" t="s">
        <v>135</v>
      </c>
      <c r="I6" s="763" t="s">
        <v>137</v>
      </c>
      <c r="J6" s="763"/>
      <c r="K6" s="763"/>
      <c r="L6" s="130" t="s">
        <v>135</v>
      </c>
      <c r="M6" s="760" t="s">
        <v>138</v>
      </c>
      <c r="N6" s="760"/>
      <c r="O6" s="760"/>
      <c r="P6" s="130" t="s">
        <v>135</v>
      </c>
      <c r="Q6" s="760" t="s">
        <v>138</v>
      </c>
      <c r="R6" s="760"/>
      <c r="S6" s="760"/>
      <c r="T6" s="130" t="s">
        <v>135</v>
      </c>
      <c r="U6" s="760" t="s">
        <v>139</v>
      </c>
      <c r="V6" s="760"/>
      <c r="W6" s="760"/>
    </row>
    <row r="7" spans="1:23" ht="24.75" thickBot="1" x14ac:dyDescent="0.25">
      <c r="A7" s="61"/>
      <c r="B7" s="761"/>
      <c r="C7" s="761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'[4]1.Plánovanie, manažment a kontr'!#REF!</f>
        <v>#REF!</v>
      </c>
      <c r="N12" s="73" t="e">
        <f>'[4]1.Plánovanie, manažment a kontr'!#REF!</f>
        <v>#REF!</v>
      </c>
      <c r="O12" s="75" t="e">
        <f>'[4]1.Plánovanie,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'[4]1.Plánovanie, manažment a kontr'!$H$5</f>
        <v>39379</v>
      </c>
      <c r="V12" s="73">
        <f>'[4]1.Plánovanie, manažment a kontr'!$I$5</f>
        <v>0</v>
      </c>
      <c r="W12" s="75">
        <f>'[4]1.Plánovanie,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'[4]1.Plánovanie, manažment a kontr'!#REF!</f>
        <v>#REF!</v>
      </c>
      <c r="N13" s="73" t="e">
        <f>'[4]1.Plánovanie, manažment a kontr'!#REF!</f>
        <v>#REF!</v>
      </c>
      <c r="O13" s="75" t="e">
        <f>'[4]1.Plánovanie,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'[4]1.Plánovanie, manažment a kontr'!$H$16</f>
        <v>26321</v>
      </c>
      <c r="V13" s="73">
        <f>'[4]1.Plánovanie, manažment a kontr'!$I$16</f>
        <v>0</v>
      </c>
      <c r="W13" s="75">
        <f>'[4]1.Plánovanie,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'[4]1.Plánovanie, manažment a kontr'!#REF!</f>
        <v>#REF!</v>
      </c>
      <c r="N14" s="73" t="e">
        <f>'[4]1.Plánovanie, manažment a kontr'!#REF!</f>
        <v>#REF!</v>
      </c>
      <c r="O14" s="75" t="e">
        <f>'[4]1.Plánovanie,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'[4]1.Plánovanie, manažment a kontr'!$H$27</f>
        <v>34932</v>
      </c>
      <c r="V14" s="73">
        <f>'[4]1.Plánovanie, manažment a kontr'!$I$27</f>
        <v>0</v>
      </c>
      <c r="W14" s="75">
        <f>'[4]1.Plánovanie,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'[4]1.Plánovanie, manažment a kontr'!#REF!</f>
        <v>#REF!</v>
      </c>
      <c r="N15" s="73" t="e">
        <f>'[4]1.Plánovanie, manažment a kontr'!#REF!</f>
        <v>#REF!</v>
      </c>
      <c r="O15" s="75" t="e">
        <f>'[4]1.Plánovanie,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'[4]1.Plánovanie, manažment a kontr'!$H$31</f>
        <v>0</v>
      </c>
      <c r="V15" s="73">
        <f>'[4]1.Plánovanie, manažment a kontr'!$I$31</f>
        <v>0</v>
      </c>
      <c r="W15" s="75">
        <f>'[4]1.Plánovanie,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'[4]1.Plánovanie, manažment a kontr'!#REF!</f>
        <v>#REF!</v>
      </c>
      <c r="N17" s="73" t="e">
        <f>'[4]1.Plánovanie, manažment a kontr'!#REF!</f>
        <v>#REF!</v>
      </c>
      <c r="O17" s="75" t="e">
        <f>'[4]1.Plánovanie,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'[4]1.Plánovanie, manažment a kontr'!$H$35</f>
        <v>2046</v>
      </c>
      <c r="V17" s="73">
        <f>'[4]1.Plánovanie, manažment a kontr'!$I$35</f>
        <v>0</v>
      </c>
      <c r="W17" s="75">
        <f>'[4]1.Plánovanie,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'[4]1.Plánovanie, manažment a kontr'!#REF!</f>
        <v>#REF!</v>
      </c>
      <c r="N18" s="73" t="e">
        <f>'[4]1.Plánovanie, manažment a kontr'!#REF!</f>
        <v>#REF!</v>
      </c>
      <c r="O18" s="75" t="e">
        <f>'[4]1.Plánovanie,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'[4]1.Plánovanie, manažment a kontr'!$H$47</f>
        <v>10904</v>
      </c>
      <c r="V18" s="73">
        <f>'[4]1.Plánovanie, manažment a kontr'!$I$47</f>
        <v>0</v>
      </c>
      <c r="W18" s="75">
        <f>'[4]1.Plánovanie,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'[4]1.Plánovanie, manažment a kontr'!#REF!</f>
        <v>#REF!</v>
      </c>
      <c r="N19" s="73" t="e">
        <f>'[4]1.Plánovanie, manažment a kontr'!#REF!</f>
        <v>#REF!</v>
      </c>
      <c r="O19" s="75" t="e">
        <f>'[4]1.Plánovanie,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'[4]1.Plánovanie, manažment a kontr'!$H$50</f>
        <v>9650</v>
      </c>
      <c r="V19" s="73">
        <f>'[4]1.Plánovanie, manažment a kontr'!$I$50</f>
        <v>22568</v>
      </c>
      <c r="W19" s="75">
        <f>'[4]1.Plánovanie,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'[4]1.Plánovanie, manažment a kontr'!#REF!</f>
        <v>#REF!</v>
      </c>
      <c r="N20" s="172" t="e">
        <f>'[4]1.Plánovanie, manažment a kontr'!#REF!</f>
        <v>#REF!</v>
      </c>
      <c r="O20" s="174" t="e">
        <f>'[4]1.Plánovanie,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'[4]1.Plánovanie, manažment a kontr'!$H$62</f>
        <v>44354</v>
      </c>
      <c r="V20" s="172">
        <f>'[4]1.Plánovanie, manažment a kontr'!$I$62</f>
        <v>0</v>
      </c>
      <c r="W20" s="174">
        <f>'[4]1.Plánovanie,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'[4]1.Plánovanie, manažment a kontr'!#REF!</f>
        <v>#REF!</v>
      </c>
      <c r="N21" s="172" t="e">
        <f>'[4]1.Plánovanie, manažment a kontr'!#REF!</f>
        <v>#REF!</v>
      </c>
      <c r="O21" s="174" t="e">
        <f>'[4]1.Plánovanie,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'[4]1.Plánovanie, manažment a kontr'!$H$72</f>
        <v>3600</v>
      </c>
      <c r="V21" s="172">
        <f>'[4]1.Plánovanie, manažment a kontr'!$I$72</f>
        <v>0</v>
      </c>
      <c r="W21" s="174">
        <f>'[4]1.Plánovanie,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'[4]1.Plánovanie, manažment a kontr'!#REF!</f>
        <v>#REF!</v>
      </c>
      <c r="N22" s="172" t="e">
        <f>'[4]1.Plánovanie, manažment a kontr'!#REF!</f>
        <v>#REF!</v>
      </c>
      <c r="O22" s="174" t="e">
        <f>'[4]1.Plánovanie,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'[4]1.Plánovanie, manažment a kontr'!$H$75</f>
        <v>8366</v>
      </c>
      <c r="V22" s="172">
        <f>'[4]1.Plánovanie, manažment a kontr'!$I$75</f>
        <v>0</v>
      </c>
      <c r="W22" s="174">
        <f>'[4]1.Plánovanie,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'[4]1.Plánovanie, manažment a kontr'!#REF!</f>
        <v>#REF!</v>
      </c>
      <c r="N23" s="181" t="e">
        <f>'[4]1.Plánovanie, manažment a kontr'!#REF!</f>
        <v>#REF!</v>
      </c>
      <c r="O23" s="182" t="e">
        <f>'[4]1.Plánovanie,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'[4]1.Plánovanie, manažment a kontr'!$H$79</f>
        <v>0</v>
      </c>
      <c r="V23" s="181">
        <f>'[4]1.Plánovanie, manažment a kontr'!$I$79</f>
        <v>0</v>
      </c>
      <c r="W23" s="182">
        <f>'[4]1.Plánovanie,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'[4]2. Propagácia a marketing'!#REF!</f>
        <v>#REF!</v>
      </c>
      <c r="G26" s="74" t="e">
        <f>'[4]2.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'[4]2. Propagácia a marketing'!#REF!</f>
        <v>#REF!</v>
      </c>
      <c r="K26" s="75" t="e">
        <f>'[4]2. Propagácia a marketing'!#REF!</f>
        <v>#REF!</v>
      </c>
      <c r="L26" s="76" t="e">
        <f t="shared" ref="L26:L33" si="11">SUM(M26:O26)</f>
        <v>#REF!</v>
      </c>
      <c r="M26" s="73" t="e">
        <f>'[4]2. Propagácia a marketing'!#REF!</f>
        <v>#REF!</v>
      </c>
      <c r="N26" s="73" t="e">
        <f>'[4]2. Propagácia a marketing'!#REF!</f>
        <v>#REF!</v>
      </c>
      <c r="O26" s="75" t="e">
        <f>'[4]2.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'[4]2. Propagácia a marketing'!$H$5</f>
        <v>130</v>
      </c>
      <c r="V26" s="73">
        <f>'[4]2. Propagácia a marketing'!$I$5</f>
        <v>0</v>
      </c>
      <c r="W26" s="75">
        <f>'[4]2.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'[4]2. Propagácia a marketing'!#REF!</f>
        <v>#REF!</v>
      </c>
      <c r="G27" s="74" t="e">
        <f>'[4]2. Propagácia a marketing'!#REF!</f>
        <v>#REF!</v>
      </c>
      <c r="H27" s="72" t="e">
        <f t="shared" si="10"/>
        <v>#REF!</v>
      </c>
      <c r="I27" s="73">
        <v>239</v>
      </c>
      <c r="J27" s="73" t="e">
        <f>'[4]2. Propagácia a marketing'!#REF!</f>
        <v>#REF!</v>
      </c>
      <c r="K27" s="75" t="e">
        <f>'[4]2. Propagácia a marketing'!#REF!</f>
        <v>#REF!</v>
      </c>
      <c r="L27" s="76" t="e">
        <f t="shared" si="11"/>
        <v>#REF!</v>
      </c>
      <c r="M27" s="73" t="e">
        <f>'[4]2. Propagácia a marketing'!#REF!</f>
        <v>#REF!</v>
      </c>
      <c r="N27" s="73" t="e">
        <f>'[4]2. Propagácia a marketing'!#REF!</f>
        <v>#REF!</v>
      </c>
      <c r="O27" s="75" t="e">
        <f>'[4]2.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'[4]2. Propagácia a marketing'!$H$7</f>
        <v>1000</v>
      </c>
      <c r="V27" s="73">
        <f>'[4]2. Propagácia a marketing'!$I$7</f>
        <v>0</v>
      </c>
      <c r="W27" s="75">
        <f>'[4]2.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'[4]2. Propagácia a marketing'!#REF!</f>
        <v>#REF!</v>
      </c>
      <c r="G28" s="74" t="e">
        <f>'[4]2. Propagácia a marketing'!#REF!</f>
        <v>#REF!</v>
      </c>
      <c r="H28" s="72" t="e">
        <f t="shared" si="10"/>
        <v>#REF!</v>
      </c>
      <c r="I28" s="73">
        <v>1669</v>
      </c>
      <c r="J28" s="73" t="e">
        <f>'[4]2. Propagácia a marketing'!#REF!</f>
        <v>#REF!</v>
      </c>
      <c r="K28" s="75" t="e">
        <f>'[4]2. Propagácia a marketing'!#REF!</f>
        <v>#REF!</v>
      </c>
      <c r="L28" s="76" t="e">
        <f t="shared" si="11"/>
        <v>#REF!</v>
      </c>
      <c r="M28" s="73" t="e">
        <f>'[4]2. Propagácia a marketing'!#REF!</f>
        <v>#REF!</v>
      </c>
      <c r="N28" s="73" t="e">
        <f>'[4]2. Propagácia a marketing'!#REF!</f>
        <v>#REF!</v>
      </c>
      <c r="O28" s="75" t="e">
        <f>'[4]2.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'[4]2. Propagácia a marketing'!$H$11</f>
        <v>5765</v>
      </c>
      <c r="V28" s="73">
        <f>'[4]2. Propagácia a marketing'!$I$11</f>
        <v>0</v>
      </c>
      <c r="W28" s="75">
        <f>'[4]2.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'[4]2. Propagácia a marketing'!#REF!</f>
        <v>#REF!</v>
      </c>
      <c r="G29" s="74" t="e">
        <f>'[4]2. Propagácia a marketing'!#REF!</f>
        <v>#REF!</v>
      </c>
      <c r="H29" s="72" t="e">
        <f t="shared" si="10"/>
        <v>#REF!</v>
      </c>
      <c r="I29" s="73">
        <v>2024</v>
      </c>
      <c r="J29" s="73" t="e">
        <f>'[4]2. Propagácia a marketing'!#REF!</f>
        <v>#REF!</v>
      </c>
      <c r="K29" s="75" t="e">
        <f>'[4]2. Propagácia a marketing'!#REF!</f>
        <v>#REF!</v>
      </c>
      <c r="L29" s="76" t="e">
        <f t="shared" si="11"/>
        <v>#REF!</v>
      </c>
      <c r="M29" s="73" t="e">
        <f>'[4]2. Propagácia a marketing'!#REF!</f>
        <v>#REF!</v>
      </c>
      <c r="N29" s="73" t="e">
        <f>'[4]2. Propagácia a marketing'!#REF!</f>
        <v>#REF!</v>
      </c>
      <c r="O29" s="75" t="e">
        <f>'[4]2.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'[4]2. Propagácia a marketing'!$H$19</f>
        <v>1000</v>
      </c>
      <c r="V29" s="73">
        <f>'[4]2. Propagácia a marketing'!$I$19</f>
        <v>0</v>
      </c>
      <c r="W29" s="75">
        <f>'[4]2.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'[4]2. Propagácia a marketing'!#REF!</f>
        <v>#REF!</v>
      </c>
      <c r="G30" s="74" t="e">
        <f>'[4]2. Propagácia a marketing'!#REF!</f>
        <v>#REF!</v>
      </c>
      <c r="H30" s="72" t="e">
        <f t="shared" si="10"/>
        <v>#REF!</v>
      </c>
      <c r="I30" s="73">
        <v>764</v>
      </c>
      <c r="J30" s="73" t="e">
        <f>'[4]2. Propagácia a marketing'!#REF!</f>
        <v>#REF!</v>
      </c>
      <c r="K30" s="75" t="e">
        <f>'[4]2. Propagácia a marketing'!#REF!</f>
        <v>#REF!</v>
      </c>
      <c r="L30" s="76" t="e">
        <f t="shared" si="11"/>
        <v>#REF!</v>
      </c>
      <c r="M30" s="73" t="e">
        <f>'[4]2. Propagácia a marketing'!#REF!</f>
        <v>#REF!</v>
      </c>
      <c r="N30" s="73" t="e">
        <f>'[4]2. Propagácia a marketing'!#REF!</f>
        <v>#REF!</v>
      </c>
      <c r="O30" s="75" t="e">
        <f>'[4]2.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'[4]2. Propagácia a marketing'!$H$21</f>
        <v>0</v>
      </c>
      <c r="V30" s="73">
        <f>'[4]2. Propagácia a marketing'!$I$21</f>
        <v>0</v>
      </c>
      <c r="W30" s="75">
        <f>'[4]2.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'[4]2. Propagácia a marketing'!#REF!</f>
        <v>#REF!</v>
      </c>
      <c r="G31" s="74" t="e">
        <f>'[4]2. Propagácia a marketing'!#REF!</f>
        <v>#REF!</v>
      </c>
      <c r="H31" s="72" t="e">
        <f t="shared" si="10"/>
        <v>#REF!</v>
      </c>
      <c r="I31" s="73">
        <v>1363</v>
      </c>
      <c r="J31" s="73" t="e">
        <f>'[4]2. Propagácia a marketing'!#REF!</f>
        <v>#REF!</v>
      </c>
      <c r="K31" s="75" t="e">
        <f>'[4]2. Propagácia a marketing'!#REF!</f>
        <v>#REF!</v>
      </c>
      <c r="L31" s="76" t="e">
        <f t="shared" si="11"/>
        <v>#REF!</v>
      </c>
      <c r="M31" s="73" t="e">
        <f>'[4]2. Propagácia a marketing'!#REF!</f>
        <v>#REF!</v>
      </c>
      <c r="N31" s="73" t="e">
        <f>'[4]2. Propagácia a marketing'!#REF!</f>
        <v>#REF!</v>
      </c>
      <c r="O31" s="75" t="e">
        <f>'[4]2.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'[4]2. Propagácia a marketing'!$H$24</f>
        <v>0</v>
      </c>
      <c r="V31" s="73">
        <f>'[4]2. Propagácia a marketing'!$I$24</f>
        <v>0</v>
      </c>
      <c r="W31" s="75">
        <f>'[4]2.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'[4]2. Propagácia a marketing'!#REF!</f>
        <v>#REF!</v>
      </c>
      <c r="G32" s="74" t="e">
        <f>'[4]2. Propagácia a marketing'!#REF!</f>
        <v>#REF!</v>
      </c>
      <c r="H32" s="72" t="e">
        <f t="shared" si="10"/>
        <v>#REF!</v>
      </c>
      <c r="I32" s="73">
        <v>1530</v>
      </c>
      <c r="J32" s="73" t="e">
        <f>'[4]2. Propagácia a marketing'!#REF!</f>
        <v>#REF!</v>
      </c>
      <c r="K32" s="75" t="e">
        <f>'[4]2. Propagácia a marketing'!#REF!</f>
        <v>#REF!</v>
      </c>
      <c r="L32" s="76" t="e">
        <f t="shared" si="11"/>
        <v>#REF!</v>
      </c>
      <c r="M32" s="73" t="e">
        <f>'[4]2. Propagácia a marketing'!#REF!</f>
        <v>#REF!</v>
      </c>
      <c r="N32" s="73" t="e">
        <f>'[4]2. Propagácia a marketing'!#REF!</f>
        <v>#REF!</v>
      </c>
      <c r="O32" s="75" t="e">
        <f>'[4]2.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'[4]2. Propagácia a marketing'!$H$26</f>
        <v>1480</v>
      </c>
      <c r="V32" s="73">
        <f>'[4]2. Propagácia a marketing'!$I$26</f>
        <v>0</v>
      </c>
      <c r="W32" s="75">
        <f>'[4]2.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'[4]2. Propagácia a marketing'!#REF!</f>
        <v>#REF!</v>
      </c>
      <c r="G33" s="74" t="e">
        <f>'[4]2. Propagácia a marketing'!#REF!</f>
        <v>#REF!</v>
      </c>
      <c r="H33" s="72" t="e">
        <f t="shared" si="10"/>
        <v>#REF!</v>
      </c>
      <c r="I33" s="73">
        <v>0</v>
      </c>
      <c r="J33" s="73" t="e">
        <f>'[4]2. Propagácia a marketing'!#REF!</f>
        <v>#REF!</v>
      </c>
      <c r="K33" s="75" t="e">
        <f>'[4]2. Propagácia a marketing'!#REF!</f>
        <v>#REF!</v>
      </c>
      <c r="L33" s="76" t="e">
        <f t="shared" si="11"/>
        <v>#REF!</v>
      </c>
      <c r="M33" s="73" t="e">
        <f>'[4]2. Propagácia a marketing'!#REF!</f>
        <v>#REF!</v>
      </c>
      <c r="N33" s="73" t="e">
        <f>'[4]2. Propagácia a marketing'!#REF!</f>
        <v>#REF!</v>
      </c>
      <c r="O33" s="75" t="e">
        <f>'[4]2.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'[4]2. Propagácia a marketing'!$H$28</f>
        <v>0</v>
      </c>
      <c r="V33" s="73">
        <f>'[4]2. Propagácia a marketing'!$I$28</f>
        <v>0</v>
      </c>
      <c r="W33" s="75">
        <f>'[4]2.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'[4]2. Propagácia a marketing'!#REF!</f>
        <v>#REF!</v>
      </c>
      <c r="G35" s="74" t="e">
        <f>'[4]2. Propagácia a marketing'!#REF!</f>
        <v>#REF!</v>
      </c>
      <c r="H35" s="72" t="e">
        <f>SUM(I35:K35)</f>
        <v>#REF!</v>
      </c>
      <c r="I35" s="73">
        <v>9757</v>
      </c>
      <c r="J35" s="73" t="e">
        <f>'[4]2. Propagácia a marketing'!#REF!</f>
        <v>#REF!</v>
      </c>
      <c r="K35" s="75" t="e">
        <f>'[4]2. Propagácia a marketing'!#REF!</f>
        <v>#REF!</v>
      </c>
      <c r="L35" s="76" t="e">
        <f>SUM(M35:O35)</f>
        <v>#REF!</v>
      </c>
      <c r="M35" s="73" t="e">
        <f>'[4]2. Propagácia a marketing'!#REF!</f>
        <v>#REF!</v>
      </c>
      <c r="N35" s="73" t="e">
        <f>'[4]2. Propagácia a marketing'!#REF!</f>
        <v>#REF!</v>
      </c>
      <c r="O35" s="75" t="e">
        <f>'[4]2.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'[4]2. Propagácia a marketing'!$H$32</f>
        <v>3580</v>
      </c>
      <c r="V35" s="73">
        <f>'[4]2. Propagácia a marketing'!$I$32</f>
        <v>0</v>
      </c>
      <c r="W35" s="75">
        <f>'[4]2.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'[4]2. Propagácia a marketing'!#REF!</f>
        <v>#REF!</v>
      </c>
      <c r="G36" s="74" t="e">
        <f>'[4]2. Propagácia a marketing'!#REF!</f>
        <v>#REF!</v>
      </c>
      <c r="H36" s="72" t="e">
        <f>SUM(I36:K36)</f>
        <v>#REF!</v>
      </c>
      <c r="I36" s="73">
        <v>1807</v>
      </c>
      <c r="J36" s="73" t="e">
        <f>'[4]2. Propagácia a marketing'!#REF!</f>
        <v>#REF!</v>
      </c>
      <c r="K36" s="75" t="e">
        <f>'[4]2. Propagácia a marketing'!#REF!</f>
        <v>#REF!</v>
      </c>
      <c r="L36" s="76" t="e">
        <f>SUM(M36:O36)</f>
        <v>#REF!</v>
      </c>
      <c r="M36" s="73" t="e">
        <f>'[4]2. Propagácia a marketing'!#REF!</f>
        <v>#REF!</v>
      </c>
      <c r="N36" s="73" t="e">
        <f>'[4]2. Propagácia a marketing'!#REF!</f>
        <v>#REF!</v>
      </c>
      <c r="O36" s="75" t="e">
        <f>'[4]2.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'[4]2. Propagácia a marketing'!$H$54</f>
        <v>570</v>
      </c>
      <c r="V36" s="73" t="e">
        <f>'[4]2. Propagácia a marketing'!$I$54</f>
        <v>#REF!</v>
      </c>
      <c r="W36" s="75" t="e">
        <f>'[4]2.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'[4]2. Propagácia a marketing'!#REF!</f>
        <v>#REF!</v>
      </c>
      <c r="G37" s="180" t="e">
        <f>'[4]2. Propagácia a marketing'!#REF!</f>
        <v>#REF!</v>
      </c>
      <c r="H37" s="186" t="e">
        <f>SUM(I37:K37)</f>
        <v>#REF!</v>
      </c>
      <c r="I37" s="181">
        <v>4354</v>
      </c>
      <c r="J37" s="181" t="e">
        <f>'[4]2. Propagácia a marketing'!#REF!</f>
        <v>#REF!</v>
      </c>
      <c r="K37" s="182" t="e">
        <f>'[4]2. Propagácia a marketing'!#REF!</f>
        <v>#REF!</v>
      </c>
      <c r="L37" s="187" t="e">
        <f>SUM(M37:O37)</f>
        <v>#REF!</v>
      </c>
      <c r="M37" s="179" t="e">
        <f>'[4]2. Propagácia a marketing'!#REF!</f>
        <v>#REF!</v>
      </c>
      <c r="N37" s="179" t="e">
        <f>'[4]2. Propagácia a marketing'!#REF!</f>
        <v>#REF!</v>
      </c>
      <c r="O37" s="188" t="e">
        <f>'[4]2.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'[4]2. Propagácia a marketing'!$H$60</f>
        <v>1000</v>
      </c>
      <c r="V37" s="179" t="e">
        <f>'[4]2. Propagácia a marketing'!$I$60</f>
        <v>#REF!</v>
      </c>
      <c r="W37" s="188" t="e">
        <f>'[4]2.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'[4]3.Interné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'[4]3.Interné služby'!#REF!</f>
        <v>#REF!</v>
      </c>
      <c r="L39" s="175" t="e">
        <f>SUM(M39:O39)</f>
        <v>#REF!</v>
      </c>
      <c r="M39" s="172" t="e">
        <f>'[4]3.Interné služby'!#REF!</f>
        <v>#REF!</v>
      </c>
      <c r="N39" s="172" t="e">
        <f>'[4]3.Interné služby'!#REF!</f>
        <v>#REF!</v>
      </c>
      <c r="O39" s="174" t="e">
        <f>'[4]3.Interné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'[4]3.Interné služby'!$H$4</f>
        <v>46864</v>
      </c>
      <c r="V39" s="172">
        <f>'[4]3.Interné služby'!$I$4</f>
        <v>34000</v>
      </c>
      <c r="W39" s="174">
        <f>'[4]3.Interné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'[4]3.Interné služby'!#REF!</f>
        <v>#REF!</v>
      </c>
      <c r="G40" s="173" t="e">
        <f>'[4]3.Interné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'[4]3.Interné služby'!#REF!</f>
        <v>#REF!</v>
      </c>
      <c r="L40" s="175" t="e">
        <f>SUM(M40:O40)</f>
        <v>#REF!</v>
      </c>
      <c r="M40" s="172">
        <v>30256</v>
      </c>
      <c r="N40" s="172" t="e">
        <f>'[4]3.Interné služby'!#REF!</f>
        <v>#REF!</v>
      </c>
      <c r="O40" s="174" t="e">
        <f>'[4]3.Interné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'[4]3.Interné služby'!$H$31</f>
        <v>10900</v>
      </c>
      <c r="V40" s="172">
        <f>'[4]3.Interné služby'!$I$31</f>
        <v>0</v>
      </c>
      <c r="W40" s="174">
        <f>'[4]3.Interné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'[4]3.Interné služby'!#REF!</f>
        <v>#REF!</v>
      </c>
      <c r="G42" s="74" t="e">
        <f>'[4]3.Interné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'[4]3.Interné služby'!#REF!</f>
        <v>#REF!</v>
      </c>
      <c r="L42" s="76" t="e">
        <f t="shared" ref="L42:L47" si="18">SUM(M42:O42)</f>
        <v>#REF!</v>
      </c>
      <c r="M42" s="73" t="e">
        <f>'[4]3.Interné služby'!#REF!</f>
        <v>#REF!</v>
      </c>
      <c r="N42" s="73" t="e">
        <f>'[4]3.Interné služby'!#REF!</f>
        <v>#REF!</v>
      </c>
      <c r="O42" s="75" t="e">
        <f>'[4]3.Interné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'[4]3.Interné služby'!$H$37</f>
        <v>3250</v>
      </c>
      <c r="V42" s="73">
        <f>'[4]3.Interné služby'!$I$37</f>
        <v>0</v>
      </c>
      <c r="W42" s="75">
        <f>'[4]3.Interné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'[4]3.Interné služby'!#REF!</f>
        <v>#REF!</v>
      </c>
      <c r="G43" s="74" t="e">
        <f>'[4]3.Interné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'[4]3.Interné služby'!#REF!</f>
        <v>#REF!</v>
      </c>
      <c r="L43" s="76" t="e">
        <f t="shared" si="18"/>
        <v>#REF!</v>
      </c>
      <c r="M43" s="73">
        <v>800</v>
      </c>
      <c r="N43" s="73" t="e">
        <f>'[4]3.Interné služby'!#REF!</f>
        <v>#REF!</v>
      </c>
      <c r="O43" s="75" t="e">
        <f>'[4]3.Interné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'[4]3.Interné služby'!$H$43</f>
        <v>500</v>
      </c>
      <c r="V43" s="73">
        <f>'[4]3.Interné služby'!$I$43</f>
        <v>0</v>
      </c>
      <c r="W43" s="75">
        <f>'[4]3.Interné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'[4]3.Interné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'[4]3.Interné služby'!#REF!</f>
        <v>#REF!</v>
      </c>
      <c r="L44" s="76" t="e">
        <f t="shared" si="18"/>
        <v>#REF!</v>
      </c>
      <c r="M44" s="73" t="e">
        <f>'[4]3.Interné služby'!#REF!</f>
        <v>#REF!</v>
      </c>
      <c r="N44" s="73">
        <v>20700</v>
      </c>
      <c r="O44" s="75" t="e">
        <f>'[4]3.Interné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'[5]3.Interné služby'!$Q$19</f>
        <v>5000</v>
      </c>
      <c r="V44" s="73">
        <f>'[4]3.Interné služby'!$I$47</f>
        <v>0</v>
      </c>
      <c r="W44" s="75">
        <f>'[4]3.Interné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'[4]3.Interné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'[4]3.Interné služby'!#REF!</f>
        <v>#REF!</v>
      </c>
      <c r="L45" s="76" t="e">
        <f t="shared" si="18"/>
        <v>#REF!</v>
      </c>
      <c r="M45" s="73" t="e">
        <f>'[4]3.Interné služby'!#REF!</f>
        <v>#REF!</v>
      </c>
      <c r="N45" s="73" t="e">
        <f>'[4]3.Interné služby'!#REF!</f>
        <v>#REF!</v>
      </c>
      <c r="O45" s="75" t="e">
        <f>'[4]3.Interné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'[4]3.Interné služby'!$H$99</f>
        <v>4000</v>
      </c>
      <c r="V45" s="73" t="e">
        <f>'[4]3.Interné služby'!$I$99</f>
        <v>#REF!</v>
      </c>
      <c r="W45" s="75" t="e">
        <f>'[4]3.Interné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'[4]3.Interné služby'!#REF!</f>
        <v>#REF!</v>
      </c>
      <c r="G46" s="173" t="e">
        <f>'[4]3.Interné služby'!#REF!</f>
        <v>#REF!</v>
      </c>
      <c r="H46" s="171" t="e">
        <f t="shared" si="17"/>
        <v>#REF!</v>
      </c>
      <c r="I46" s="172">
        <v>2400</v>
      </c>
      <c r="J46" s="172" t="e">
        <f>'[4]3.Interné služby'!#REF!</f>
        <v>#REF!</v>
      </c>
      <c r="K46" s="174" t="e">
        <f>'[4]3.Interné služby'!#REF!</f>
        <v>#REF!</v>
      </c>
      <c r="L46" s="175" t="e">
        <f t="shared" si="18"/>
        <v>#REF!</v>
      </c>
      <c r="M46" s="172">
        <v>3900</v>
      </c>
      <c r="N46" s="172" t="e">
        <f>'[4]3.Interné služby'!#REF!</f>
        <v>#REF!</v>
      </c>
      <c r="O46" s="174" t="e">
        <f>'[4]3.Interné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'[4]3.Interné služby'!$H$101</f>
        <v>3700</v>
      </c>
      <c r="V46" s="172" t="e">
        <f>'[4]3.Interné služby'!$I$102</f>
        <v>#REF!</v>
      </c>
      <c r="W46" s="174" t="e">
        <f>'[4]3.Interné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'[4]3.Interné služby'!#REF!</f>
        <v>#REF!</v>
      </c>
      <c r="G47" s="180" t="e">
        <f>'[4]3.Interné služby'!#REF!</f>
        <v>#REF!</v>
      </c>
      <c r="H47" s="186" t="e">
        <f t="shared" si="17"/>
        <v>#REF!</v>
      </c>
      <c r="I47" s="181">
        <v>1630</v>
      </c>
      <c r="J47" s="181" t="e">
        <f>'[4]3.Interné služby'!#REF!</f>
        <v>#REF!</v>
      </c>
      <c r="K47" s="182" t="e">
        <f>'[4]3.Interné služby'!#REF!</f>
        <v>#REF!</v>
      </c>
      <c r="L47" s="187" t="e">
        <f t="shared" si="18"/>
        <v>#REF!</v>
      </c>
      <c r="M47" s="179" t="e">
        <f>'[4]3.Interné služby'!#REF!</f>
        <v>#REF!</v>
      </c>
      <c r="N47" s="179" t="e">
        <f>'[4]3.Interné služby'!#REF!</f>
        <v>#REF!</v>
      </c>
      <c r="O47" s="188" t="e">
        <f>'[4]3.Interné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'[4]3.Interné služby'!$H$108</f>
        <v>1200</v>
      </c>
      <c r="V47" s="179" t="e">
        <f>'[4]3.Interné služby'!$I$108</f>
        <v>#REF!</v>
      </c>
      <c r="W47" s="188" t="e">
        <f>'[4]3.Interné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'[4]4.Služby občanov'!#REF!</f>
        <v>#REF!</v>
      </c>
      <c r="G49" s="173" t="e">
        <f>'[4]4.Služby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'[4]4.Služby občanov'!#REF!</f>
        <v>#REF!</v>
      </c>
      <c r="L49" s="175" t="e">
        <f>SUM(M49:O49)</f>
        <v>#REF!</v>
      </c>
      <c r="M49" s="172" t="e">
        <f>'[4]4.Služby občanov'!#REF!</f>
        <v>#REF!</v>
      </c>
      <c r="N49" s="172" t="e">
        <f>'[4]4.Služby občanov'!#REF!</f>
        <v>#REF!</v>
      </c>
      <c r="O49" s="174" t="e">
        <f>'[4]4.Služby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'[4]4.Služby občanov'!$H$4</f>
        <v>15600</v>
      </c>
      <c r="V49" s="172">
        <f>'[4]4.Služby občanov'!$I$4</f>
        <v>0</v>
      </c>
      <c r="W49" s="174">
        <f>'[4]4.Služby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'[4]4.Služby občanov'!#REF!</f>
        <v>#REF!</v>
      </c>
      <c r="G51" s="74" t="e">
        <f>'[4]4.Služby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'[4]4.Služby občanov'!#REF!</f>
        <v>#REF!</v>
      </c>
      <c r="L51" s="76" t="e">
        <f>SUM(M51:O51)</f>
        <v>#REF!</v>
      </c>
      <c r="M51" s="73" t="e">
        <f>'[4]4.Služby občanov'!#REF!</f>
        <v>#REF!</v>
      </c>
      <c r="N51" s="73" t="e">
        <f>'[4]4.Služby občanov'!#REF!</f>
        <v>#REF!</v>
      </c>
      <c r="O51" s="75" t="e">
        <f>'[4]4.Služby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'[4]4.Služby občanov'!$H$18</f>
        <v>16737</v>
      </c>
      <c r="V51" s="73">
        <f>'[4]4.Služby občanov'!$I$18</f>
        <v>0</v>
      </c>
      <c r="W51" s="75">
        <f>'[4]4.Služby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'[4]4.Služby občanov'!#REF!</f>
        <v>#REF!</v>
      </c>
      <c r="G52" s="74" t="e">
        <f>'[4]4.Služby občanov'!#REF!</f>
        <v>#REF!</v>
      </c>
      <c r="H52" s="72" t="e">
        <f>SUM(I52:K52)</f>
        <v>#REF!</v>
      </c>
      <c r="I52" s="73" t="e">
        <f>'[4]4.Služby občanov'!#REF!</f>
        <v>#REF!</v>
      </c>
      <c r="J52" s="73">
        <v>0</v>
      </c>
      <c r="K52" s="75" t="e">
        <f>'[4]4.Služby občanov'!#REF!</f>
        <v>#REF!</v>
      </c>
      <c r="L52" s="76" t="e">
        <f>SUM(M52:O52)</f>
        <v>#REF!</v>
      </c>
      <c r="M52" s="73" t="e">
        <f>'[4]4.Služby občanov'!#REF!</f>
        <v>#REF!</v>
      </c>
      <c r="N52" s="73" t="e">
        <f>'[4]4.Služby občanov'!#REF!</f>
        <v>#REF!</v>
      </c>
      <c r="O52" s="75" t="e">
        <f>'[4]4.Služby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'[4]4.Služby občanov'!$H$26</f>
        <v>200</v>
      </c>
      <c r="V52" s="73" t="e">
        <f>'[4]4.Služby občanov'!$I$26</f>
        <v>#REF!</v>
      </c>
      <c r="W52" s="75" t="e">
        <f>'[4]4.Služby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'[4]4.Služby občanov'!#REF!</f>
        <v>#REF!</v>
      </c>
      <c r="F53" s="179" t="e">
        <f>'[4]4.Služby občanov'!#REF!</f>
        <v>#REF!</v>
      </c>
      <c r="G53" s="180" t="e">
        <f>'[4]4.Služby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'[4]4.Služby občanov'!#REF!</f>
        <v>#REF!</v>
      </c>
      <c r="L53" s="187" t="e">
        <f>SUM(M53:O53)</f>
        <v>#REF!</v>
      </c>
      <c r="M53" s="179" t="e">
        <f>'[4]4.Služby občanov'!#REF!</f>
        <v>#REF!</v>
      </c>
      <c r="N53" s="179" t="e">
        <f>'[4]4.Služby občanov'!#REF!</f>
        <v>#REF!</v>
      </c>
      <c r="O53" s="188" t="e">
        <f>'[4]4.Služby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'[4]4.Služby občanov'!$H$28</f>
        <v>10</v>
      </c>
      <c r="V53" s="179" t="e">
        <f>'[4]4.Služby občanov'!$I$28</f>
        <v>#REF!</v>
      </c>
      <c r="W53" s="188" t="e">
        <f>'[4]4.Služby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'[4]5.Bezpečnosť,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'[4]5.Bezpečnosť, právo a por.'!#REF!</f>
        <v>#REF!</v>
      </c>
      <c r="L56" s="76" t="e">
        <f t="shared" ref="L56:L61" si="27">SUM(M56:O56)</f>
        <v>#REF!</v>
      </c>
      <c r="M56" s="73" t="e">
        <f>'[4]5.Bezpečnosť, právo a por.'!#REF!</f>
        <v>#REF!</v>
      </c>
      <c r="N56" s="73" t="e">
        <f>'[4]5.Bezpečnosť, právo a por.'!#REF!</f>
        <v>#REF!</v>
      </c>
      <c r="O56" s="75" t="e">
        <f>'[4]5.Bezpečnosť,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'[4]5.Bezpečnosť, právo a por.'!$H$5</f>
        <v>326718</v>
      </c>
      <c r="V56" s="73">
        <f>'[4]5.Bezpečnosť, právo a por.'!$I$5</f>
        <v>0</v>
      </c>
      <c r="W56" s="75">
        <f>'[4]5.Bezpečnosť,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'[4]5.Bezpečnosť,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'[4]5.Bezpečnosť, právo a por.'!#REF!</f>
        <v>#REF!</v>
      </c>
      <c r="L57" s="76" t="e">
        <f t="shared" si="27"/>
        <v>#REF!</v>
      </c>
      <c r="M57" s="73" t="e">
        <f>'[4]5.Bezpečnosť, právo a por.'!#REF!</f>
        <v>#REF!</v>
      </c>
      <c r="N57" s="73" t="e">
        <f>'[4]5.Bezpečnosť, právo a por.'!#REF!</f>
        <v>#REF!</v>
      </c>
      <c r="O57" s="75" t="e">
        <f>'[4]5.Bezpečnosť,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'[4]5.Bezpečnosť, právo a por.'!$H$49</f>
        <v>67861</v>
      </c>
      <c r="V57" s="73">
        <f>'[4]5.Bezpečnosť, právo a por.'!$I$49</f>
        <v>3050</v>
      </c>
      <c r="W57" s="75">
        <f>'[4]5.Bezpečnosť,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'[4]5.Bezpečnosť,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'[4]5.Bezpečnosť, právo a por.'!#REF!</f>
        <v>#REF!</v>
      </c>
      <c r="L58" s="76" t="e">
        <f t="shared" si="27"/>
        <v>#REF!</v>
      </c>
      <c r="M58" s="73" t="e">
        <f>'[4]5.Bezpečnosť, právo a por.'!#REF!</f>
        <v>#REF!</v>
      </c>
      <c r="N58" s="73" t="e">
        <f>'[4]5.Bezpečnosť, právo a por.'!#REF!</f>
        <v>#REF!</v>
      </c>
      <c r="O58" s="75" t="e">
        <f>'[4]5.Bezpečnosť,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'[4]5.Bezpečnosť, právo a por.'!$H$66</f>
        <v>36887</v>
      </c>
      <c r="V58" s="73">
        <f>'[4]5.Bezpečnosť, právo a por.'!$I$65</f>
        <v>3050</v>
      </c>
      <c r="W58" s="75" t="e">
        <f>'[4]5.Bezpečnosť,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'[4]5.Bezpečnosť, právo a por.'!#REF!</f>
        <v>#REF!</v>
      </c>
      <c r="G59" s="74" t="e">
        <f>'[4]5.Bezpečnosť, právo a por.'!#REF!</f>
        <v>#REF!</v>
      </c>
      <c r="H59" s="72" t="e">
        <f t="shared" si="26"/>
        <v>#REF!</v>
      </c>
      <c r="I59" s="73">
        <v>40098.5</v>
      </c>
      <c r="J59" s="73" t="e">
        <f>'[4]5.Bezpečnosť, právo a por.'!#REF!</f>
        <v>#REF!</v>
      </c>
      <c r="K59" s="75" t="e">
        <f>'[4]5.Bezpečnosť, právo a por.'!#REF!</f>
        <v>#REF!</v>
      </c>
      <c r="L59" s="76" t="e">
        <f t="shared" si="27"/>
        <v>#REF!</v>
      </c>
      <c r="M59" s="73" t="e">
        <f>'[4]5.Bezpečnosť, právo a por.'!#REF!</f>
        <v>#REF!</v>
      </c>
      <c r="N59" s="73" t="e">
        <f>'[4]5.Bezpečnosť, právo a por.'!#REF!</f>
        <v>#REF!</v>
      </c>
      <c r="O59" s="75" t="e">
        <f>'[4]5.Bezpečnosť,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'[4]5.Bezpečnosť, právo a por.'!$H$69</f>
        <v>37517</v>
      </c>
      <c r="V59" s="73">
        <f>'[4]5.Bezpečnosť, právo a por.'!$I$69</f>
        <v>0</v>
      </c>
      <c r="W59" s="75" t="e">
        <f>'[4]5.Bezpečnosť,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'[4]5.Bezpečnosť, právo a por.'!#REF!</f>
        <v>#REF!</v>
      </c>
      <c r="F60" s="172" t="e">
        <f>'[4]5.Bezpečnosť, právo a por.'!#REF!</f>
        <v>#REF!</v>
      </c>
      <c r="G60" s="173" t="e">
        <f>'[4]5.Bezpečnosť,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'[4]5.Bezpečnosť, právo a por.'!#REF!</f>
        <v>#REF!</v>
      </c>
      <c r="L60" s="175" t="e">
        <f t="shared" si="27"/>
        <v>#REF!</v>
      </c>
      <c r="M60" s="172" t="e">
        <f>'[4]5.Bezpečnosť, právo a por.'!#REF!</f>
        <v>#REF!</v>
      </c>
      <c r="N60" s="172" t="e">
        <f>'[4]5.Bezpečnosť, právo a por.'!#REF!</f>
        <v>#REF!</v>
      </c>
      <c r="O60" s="174" t="e">
        <f>'[4]5.Bezpečnosť,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'[4]5.Bezpečnosť, právo a por.'!$H$77</f>
        <v>0</v>
      </c>
      <c r="V60" s="172"/>
      <c r="W60" s="174" t="e">
        <f>'[4]5.Bezpečnosť,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'[4]5.Bezpečnosť, právo a por.'!#REF!</f>
        <v>#REF!</v>
      </c>
      <c r="G61" s="173" t="e">
        <f>'[4]5.Bezpečnosť,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'[4]5.Bezpečnosť, právo a por.'!#REF!</f>
        <v>#REF!</v>
      </c>
      <c r="L61" s="175" t="e">
        <f t="shared" si="27"/>
        <v>#REF!</v>
      </c>
      <c r="M61" s="172" t="e">
        <f>'[4]5.Bezpečnosť, právo a por.'!#REF!</f>
        <v>#REF!</v>
      </c>
      <c r="N61" s="172" t="e">
        <f>'[4]5.Bezpečnosť, právo a por.'!#REF!</f>
        <v>#REF!</v>
      </c>
      <c r="O61" s="174" t="e">
        <f>'[4]5.Bezpečnosť,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'[4]5.Bezpečnosť, právo a por.'!$H$79</f>
        <v>1650</v>
      </c>
      <c r="V61" s="172" t="e">
        <f>'[4]5.Bezpečnosť, právo a por.'!$I$78</f>
        <v>#REF!</v>
      </c>
      <c r="W61" s="174" t="e">
        <f>'[4]5.Bezpečnosť,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'[4]5.Bezpečnosť, právo a por.'!#REF!</f>
        <v>#REF!</v>
      </c>
      <c r="G63" s="74" t="e">
        <f>'[4]5.Bezpečnosť,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'[4]5.Bezpečnosť, právo a por.'!#REF!</f>
        <v>#REF!</v>
      </c>
      <c r="L63" s="76" t="e">
        <f>SUM(M63:O63)</f>
        <v>#REF!</v>
      </c>
      <c r="M63" s="73" t="e">
        <f>'[4]5.Bezpečnosť, právo a por.'!#REF!</f>
        <v>#REF!</v>
      </c>
      <c r="N63" s="73" t="e">
        <f>'[4]5.Bezpečnosť, právo a por.'!#REF!</f>
        <v>#REF!</v>
      </c>
      <c r="O63" s="75" t="e">
        <f>'[4]5.Bezpečnosť,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'[4]5.Bezpečnosť, právo a por.'!$H$95</f>
        <v>187042</v>
      </c>
      <c r="V63" s="73">
        <f>'[4]5.Bezpečnosť, právo a por.'!$I$94</f>
        <v>64679</v>
      </c>
      <c r="W63" s="75">
        <f>'[4]5.Bezpečnosť,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'[4]5.Bezpečnosť, právo a por.'!#REF!</f>
        <v>#REF!</v>
      </c>
      <c r="G64" s="74" t="e">
        <f>'[4]5.Bezpečnosť,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'[4]5.Bezpečnosť, právo a por.'!#REF!</f>
        <v>#REF!</v>
      </c>
      <c r="L64" s="76" t="e">
        <f>SUM(M64:O64)</f>
        <v>#REF!</v>
      </c>
      <c r="M64" s="73">
        <v>42145</v>
      </c>
      <c r="N64" s="73" t="e">
        <f>'[4]5.Bezpečnosť, právo a por.'!#REF!</f>
        <v>#REF!</v>
      </c>
      <c r="O64" s="75" t="e">
        <f>'[4]5.Bezpečnosť,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'[4]5.Bezpečnosť, právo a por.'!$H$101</f>
        <v>74900</v>
      </c>
      <c r="V64" s="73"/>
      <c r="W64" s="75" t="e">
        <f>'[4]5.Bezpečnosť,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'[4]5.Bezpečnosť, právo a por.'!#REF!</f>
        <v>#REF!</v>
      </c>
      <c r="G65" s="74" t="e">
        <f>'[4]5.Bezpečnosť,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'[4]5.Bezpečnosť, právo a por.'!#REF!</f>
        <v>#REF!</v>
      </c>
      <c r="L65" s="76" t="e">
        <f>SUM(M65:O65)</f>
        <v>#REF!</v>
      </c>
      <c r="M65" s="73" t="e">
        <f>'[4]5.Bezpečnosť, právo a por.'!#REF!</f>
        <v>#REF!</v>
      </c>
      <c r="N65" s="73" t="e">
        <f>'[4]5.Bezpečnosť, právo a por.'!#REF!</f>
        <v>#REF!</v>
      </c>
      <c r="O65" s="75" t="e">
        <f>'[4]5.Bezpečnosť,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'[4]5.Bezpečnosť, právo a por.'!$H$103</f>
        <v>#REF!</v>
      </c>
      <c r="V65" s="73">
        <f>'[4]5.Bezpečnosť, právo a por.'!$I$102</f>
        <v>0</v>
      </c>
      <c r="W65" s="75">
        <f>'[4]5.Bezpečnosť,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'[4]5.Bezpečnosť, právo a por.'!#REF!</f>
        <v>#REF!</v>
      </c>
      <c r="G66" s="74" t="e">
        <f>'[4]5.Bezpečnosť,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'[4]5.Bezpečnosť, právo a por.'!#REF!</f>
        <v>#REF!</v>
      </c>
      <c r="L66" s="76" t="e">
        <f>SUM(M66:O66)</f>
        <v>#REF!</v>
      </c>
      <c r="M66" s="73">
        <v>0</v>
      </c>
      <c r="N66" s="73" t="e">
        <f>'[4]5.Bezpečnosť, právo a por.'!#REF!</f>
        <v>#REF!</v>
      </c>
      <c r="O66" s="75" t="e">
        <f>'[4]5.Bezpečnosť,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'[4]5.Bezpečnosť, právo a por.'!$H$106</f>
        <v>#REF!</v>
      </c>
      <c r="V66" s="73">
        <f>'[4]5.Bezpečnosť, právo a por.'!$I$105</f>
        <v>0</v>
      </c>
      <c r="W66" s="75">
        <f>'[4]5.Bezpečnosť,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'[4]5.Bezpečnosť, právo a por.'!#REF!</f>
        <v>#REF!</v>
      </c>
      <c r="G68" s="74" t="e">
        <f>'[4]5.Bezpečnosť, právo a por.'!#REF!</f>
        <v>#REF!</v>
      </c>
      <c r="H68" s="72" t="e">
        <f>SUM(I68:K68)</f>
        <v>#REF!</v>
      </c>
      <c r="I68" s="73" t="e">
        <f>'[4]5.Bezpečnosť, právo a por.'!#REF!</f>
        <v>#REF!</v>
      </c>
      <c r="J68" s="73">
        <v>0</v>
      </c>
      <c r="K68" s="75" t="e">
        <f>'[4]5.Bezpečnosť, právo a por.'!#REF!</f>
        <v>#REF!</v>
      </c>
      <c r="L68" s="76" t="e">
        <f>SUM(M68:O68)</f>
        <v>#REF!</v>
      </c>
      <c r="M68" s="73" t="e">
        <f>'[4]5.Bezpečnosť, právo a por.'!#REF!</f>
        <v>#REF!</v>
      </c>
      <c r="N68" s="73" t="e">
        <f>'[4]5.Bezpečnosť, právo a por.'!#REF!</f>
        <v>#REF!</v>
      </c>
      <c r="O68" s="75" t="e">
        <f>'[4]5.Bezpečnosť,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'[4]5.Bezpečnosť, právo a por.'!$H$110</f>
        <v>1300</v>
      </c>
      <c r="V68" s="73">
        <f>'[4]5.Bezpečnosť, právo a por.'!$I$109</f>
        <v>0</v>
      </c>
      <c r="W68" s="75">
        <f>'[4]5.Bezpečnosť,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'[4]5.Bezpečnosť, právo a por.'!#REF!</f>
        <v>#REF!</v>
      </c>
      <c r="G69" s="81" t="e">
        <f>'[4]5.Bezpečnosť,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'[4]5.Bezpečnosť, právo a por.'!#REF!</f>
        <v>#REF!</v>
      </c>
      <c r="L69" s="89" t="e">
        <f>SUM(M69:O69)</f>
        <v>#REF!</v>
      </c>
      <c r="M69" s="80" t="e">
        <f>'[4]5.Bezpečnosť, právo a por.'!#REF!</f>
        <v>#REF!</v>
      </c>
      <c r="N69" s="80" t="e">
        <f>'[4]5.Bezpečnosť, právo a por.'!#REF!</f>
        <v>#REF!</v>
      </c>
      <c r="O69" s="90" t="e">
        <f>'[4]5.Bezpečnosť,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'[4]5.Bezpečnosť, právo a por.'!$H$112</f>
        <v>#REF!</v>
      </c>
      <c r="V69" s="80">
        <f>'[4]5.Bezpečnosť, právo a por.'!$I$111</f>
        <v>0</v>
      </c>
      <c r="W69" s="90">
        <f>'[4]5.Bezpečnosť,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'[4]6.Odpadové hospodárstvo'!#REF!</f>
        <v>#REF!</v>
      </c>
      <c r="G72" s="74" t="e">
        <f>'[4]6.Odpadové hospodárstvo'!#REF!</f>
        <v>#REF!</v>
      </c>
      <c r="H72" s="72" t="e">
        <f>SUM(I72:K72)</f>
        <v>#REF!</v>
      </c>
      <c r="I72" s="73">
        <v>265</v>
      </c>
      <c r="J72" s="73" t="e">
        <f>'[4]6.Odpadové hospodárstvo'!#REF!</f>
        <v>#REF!</v>
      </c>
      <c r="K72" s="75" t="e">
        <f>'[4]6.Odpadové hospodárstvo'!#REF!</f>
        <v>#REF!</v>
      </c>
      <c r="L72" s="76" t="e">
        <f>SUM(M72:O72)</f>
        <v>#REF!</v>
      </c>
      <c r="M72" s="73" t="e">
        <f>'[4]6.Odpadové hospodárstvo'!#REF!</f>
        <v>#REF!</v>
      </c>
      <c r="N72" s="73" t="e">
        <f>'[4]6.Odpadové hospodárstvo'!#REF!</f>
        <v>#REF!</v>
      </c>
      <c r="O72" s="75" t="e">
        <f>'[4]6.Odpadové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'[4]6.Odpadové hospodárstvo'!$H$5</f>
        <v>850</v>
      </c>
      <c r="V72" s="73">
        <f>'[4]6.Odpadové hospodárstvo'!$I$5</f>
        <v>5200</v>
      </c>
      <c r="W72" s="75">
        <f>'[4]6.Odpadové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'[4]6.Odpadové hospodárstvo'!#REF!</f>
        <v>#REF!</v>
      </c>
      <c r="G73" s="74" t="e">
        <f>'[4]6.Odpadové hospodárstvo'!#REF!</f>
        <v>#REF!</v>
      </c>
      <c r="H73" s="72" t="e">
        <f>SUM(I73:K73)</f>
        <v>#REF!</v>
      </c>
      <c r="I73" s="73">
        <v>514242</v>
      </c>
      <c r="J73" s="73" t="e">
        <f>'[4]6.Odpadové hospodárstvo'!#REF!</f>
        <v>#REF!</v>
      </c>
      <c r="K73" s="75" t="e">
        <f>'[4]6.Odpadové hospodárstvo'!#REF!</f>
        <v>#REF!</v>
      </c>
      <c r="L73" s="76" t="e">
        <f>SUM(M73:O73)</f>
        <v>#REF!</v>
      </c>
      <c r="M73" s="73" t="e">
        <f>'[4]6.Odpadové hospodárstvo'!#REF!</f>
        <v>#REF!</v>
      </c>
      <c r="N73" s="73" t="e">
        <f>'[4]6.Odpadové hospodárstvo'!#REF!</f>
        <v>#REF!</v>
      </c>
      <c r="O73" s="75" t="e">
        <f>'[4]6.Odpadové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'[4]6.Odpadové hospodárstvo'!$H$10</f>
        <v>558000</v>
      </c>
      <c r="V73" s="73">
        <f>'[4]6.Odpadové hospodárstvo'!$I$10</f>
        <v>0</v>
      </c>
      <c r="W73" s="75">
        <f>'[4]6.Odpadové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'[4]6.Odpadové hospodárstvo'!#REF!</f>
        <v>#REF!</v>
      </c>
      <c r="G75" s="74" t="e">
        <f>'[4]6.Odpadové hospodárstvo'!#REF!</f>
        <v>#REF!</v>
      </c>
      <c r="H75" s="72" t="e">
        <f>SUM(I75:K75)</f>
        <v>#REF!</v>
      </c>
      <c r="I75" s="73">
        <v>68842</v>
      </c>
      <c r="J75" s="73" t="e">
        <f>'[4]6.Odpadové hospodárstvo'!#REF!</f>
        <v>#REF!</v>
      </c>
      <c r="K75" s="75" t="e">
        <f>'[4]6.Odpadové hospodárstvo'!#REF!</f>
        <v>#REF!</v>
      </c>
      <c r="L75" s="76" t="e">
        <f>SUM(M75:O75)</f>
        <v>#REF!</v>
      </c>
      <c r="M75" s="73" t="e">
        <f>'[4]6.Odpadové hospodárstvo'!#REF!</f>
        <v>#REF!</v>
      </c>
      <c r="N75" s="73" t="e">
        <f>'[4]6.Odpadové hospodárstvo'!#REF!</f>
        <v>#REF!</v>
      </c>
      <c r="O75" s="75" t="e">
        <f>'[4]6.Odpadové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'[4]6.Odpadové hospodárstvo'!$H$15</f>
        <v>86950</v>
      </c>
      <c r="V75" s="73">
        <f>'[4]6.Odpadové hospodárstvo'!$I$15</f>
        <v>0</v>
      </c>
      <c r="W75" s="75">
        <f>'[4]6.Odpadové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'[4]6.Odpadové hospodárstvo'!#REF!</f>
        <v>#REF!</v>
      </c>
      <c r="G76" s="74" t="e">
        <f>'[4]6.Odpadové hospodárstvo'!#REF!</f>
        <v>#REF!</v>
      </c>
      <c r="H76" s="72" t="e">
        <f>SUM(I76:K76)</f>
        <v>#REF!</v>
      </c>
      <c r="I76" s="73">
        <v>9921</v>
      </c>
      <c r="J76" s="73" t="e">
        <f>'[4]6.Odpadové hospodárstvo'!#REF!</f>
        <v>#REF!</v>
      </c>
      <c r="K76" s="75" t="e">
        <f>'[4]6.Odpadové hospodárstvo'!#REF!</f>
        <v>#REF!</v>
      </c>
      <c r="L76" s="76" t="e">
        <f>SUM(M76:O76)</f>
        <v>#REF!</v>
      </c>
      <c r="M76" s="73" t="e">
        <f>'[4]6.Odpadové hospodárstvo'!#REF!</f>
        <v>#REF!</v>
      </c>
      <c r="N76" s="73" t="e">
        <f>'[4]6.Odpadové hospodárstvo'!#REF!</f>
        <v>#REF!</v>
      </c>
      <c r="O76" s="75" t="e">
        <f>'[4]6.Odpadové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'[4]6.Odpadové hospodárstvo'!$H$18</f>
        <v>13700</v>
      </c>
      <c r="V76" s="73">
        <f>'[4]6.Odpadové hospodárstvo'!$I$18</f>
        <v>0</v>
      </c>
      <c r="W76" s="75">
        <f>'[4]6.Odpadové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'[4]6.Odpadové hospodárstvo'!#REF!</f>
        <v>#REF!</v>
      </c>
      <c r="H77" s="186" t="e">
        <f>SUM(I77:K77)</f>
        <v>#REF!</v>
      </c>
      <c r="I77" s="181">
        <v>73327</v>
      </c>
      <c r="J77" s="181" t="e">
        <f>'[4]6.Odpadové hospodárstvo'!#REF!</f>
        <v>#REF!</v>
      </c>
      <c r="K77" s="182" t="e">
        <f>'[4]6.Odpadové hospodárstvo'!#REF!</f>
        <v>#REF!</v>
      </c>
      <c r="L77" s="187" t="e">
        <f>SUM(M77:O77)</f>
        <v>#REF!</v>
      </c>
      <c r="M77" s="179" t="e">
        <f>'[4]6.Odpadové hospodárstvo'!#REF!</f>
        <v>#REF!</v>
      </c>
      <c r="N77" s="179" t="e">
        <f>'[4]6.Odpadové hospodárstvo'!#REF!</f>
        <v>#REF!</v>
      </c>
      <c r="O77" s="188" t="e">
        <f>'[4]6.Odpadové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'[4]6.Odpadové hospodárstvo'!$H$20</f>
        <v>84350</v>
      </c>
      <c r="V77" s="179">
        <f>'[4]6.Odpadové hospodárstvo'!$I$20</f>
        <v>0</v>
      </c>
      <c r="W77" s="188">
        <f>'[4]6.Odpadové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'[4]7.Komunikácie'!#REF!</f>
        <v>#REF!</v>
      </c>
      <c r="F80" s="73" t="e">
        <f>'[4]7.Komunikácie'!#REF!</f>
        <v>#REF!</v>
      </c>
      <c r="G80" s="74" t="e">
        <f>'[4]7.Komunikácie'!#REF!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'[4]7.Komunikácie'!#REF!</f>
        <v>#REF!</v>
      </c>
      <c r="N80" s="73" t="e">
        <f>'[4]7.Komunikácie'!#REF!</f>
        <v>#REF!</v>
      </c>
      <c r="O80" s="75" t="e">
        <f>'[4]7.Komunikácie'!#REF!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'[4]7.Komunikácie'!$H$5</f>
        <v>0</v>
      </c>
      <c r="V80" s="73">
        <f>'[4]7.Komunikácie'!$I$5</f>
        <v>0</v>
      </c>
      <c r="W80" s="75">
        <f>'[4]7.Komunikácie'!$J$5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'[4]7.Komunikácie'!#REF!</f>
        <v>#REF!</v>
      </c>
      <c r="N81" s="73" t="e">
        <f>'[4]7.Komunikácie'!#REF!</f>
        <v>#REF!</v>
      </c>
      <c r="O81" s="75" t="e">
        <f>'[4]7.Komunikácie'!#REF!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'[4]7.Komunikácie'!$H$7</f>
        <v>91205</v>
      </c>
      <c r="V81" s="73">
        <f>'[4]7.Komunikácie'!$I$7</f>
        <v>8850</v>
      </c>
      <c r="W81" s="75">
        <f>'[4]7.Komunikácie'!$J$7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'[4]7.Komunikácie'!#REF!</f>
        <v>#REF!</v>
      </c>
      <c r="G82" s="74" t="e">
        <f>'[4]7.Komunikácie'!#REF!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'[4]7.Komunikácie'!#REF!</f>
        <v>#REF!</v>
      </c>
      <c r="N82" s="73" t="e">
        <f>'[4]7.Komunikácie'!#REF!</f>
        <v>#REF!</v>
      </c>
      <c r="O82" s="75" t="e">
        <f>'[4]7.Komunikácie'!#REF!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'[4]7.Komunikácie'!$H$21</f>
        <v>79000</v>
      </c>
      <c r="V82" s="73">
        <f>'[4]7.Komunikácie'!$I$21</f>
        <v>0</v>
      </c>
      <c r="W82" s="75">
        <f>'[4]7.Komunikácie'!$J$21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'[4]7.Komunikácie'!#REF!</f>
        <v>#REF!</v>
      </c>
      <c r="G83" s="74" t="e">
        <f>'[4]7.Komunikácie'!#REF!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'[4]7.Komunikácie'!#REF!</f>
        <v>#REF!</v>
      </c>
      <c r="N83" s="73" t="e">
        <f>'[4]7.Komunikácie'!#REF!</f>
        <v>#REF!</v>
      </c>
      <c r="O83" s="75" t="e">
        <f>'[4]7.Komunikácie'!#REF!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'[4]7.Komunikácie'!$H$24</f>
        <v>82000</v>
      </c>
      <c r="V83" s="73">
        <f>'[4]7.Komunikácie'!$I$24</f>
        <v>0</v>
      </c>
      <c r="W83" s="75">
        <f>'[4]7.Komunikácie'!$J$24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'[4]7.Komunikácie'!#REF!</f>
        <v>#REF!</v>
      </c>
      <c r="G84" s="74" t="e">
        <f>'[4]7.Komunikácie'!#REF!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'[4]7.Komunikácie'!#REF!</f>
        <v>#REF!</v>
      </c>
      <c r="N84" s="73" t="e">
        <f>'[4]7.Komunikácie'!#REF!</f>
        <v>#REF!</v>
      </c>
      <c r="O84" s="75" t="e">
        <f>'[4]7.Komunikácie'!#REF!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'[4]7.Komunikácie'!$H$27</f>
        <v>96150</v>
      </c>
      <c r="V84" s="73">
        <f>'[4]7.Komunikácie'!$I$27</f>
        <v>0</v>
      </c>
      <c r="W84" s="75">
        <f>'[4]7.Komunikácie'!$J$27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'[4]7.Komunikácie'!#REF!</f>
        <v>#REF!</v>
      </c>
      <c r="G85" s="74" t="e">
        <f>'[4]7.Komunikácie'!#REF!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'[4]7.Komunikácie'!#REF!</f>
        <v>#REF!</v>
      </c>
      <c r="O85" s="75" t="e">
        <f>'[4]7.Komunikácie'!#REF!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'[4]7.Komunikácie'!$H$31</f>
        <v>10350</v>
      </c>
      <c r="V85" s="73">
        <f>'[4]7.Komunikácie'!$I$31</f>
        <v>0</v>
      </c>
      <c r="W85" s="75">
        <f>'[4]7.Komunikácie'!$J$31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'[4]7.Komunikácie'!#REF!</f>
        <v>#REF!</v>
      </c>
      <c r="G86" s="74" t="e">
        <f>'[4]7.Komunikácie'!#REF!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'[4]7.Komunikácie'!#REF!</f>
        <v>#REF!</v>
      </c>
      <c r="O86" s="75" t="e">
        <f>'[4]7.Komunikácie'!#REF!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'[4]7.Komunikácie'!$H$35</f>
        <v>10000</v>
      </c>
      <c r="V86" s="73">
        <f>'[4]7.Komunikácie'!$I$35</f>
        <v>0</v>
      </c>
      <c r="W86" s="75">
        <f>'[4]7.Komunikácie'!$J$35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'[4]7.Komunikácie'!#REF!</f>
        <v>#REF!</v>
      </c>
      <c r="F88" s="73">
        <v>68101</v>
      </c>
      <c r="G88" s="74" t="e">
        <f>'[4]7.Komunikácie'!#REF!</f>
        <v>#REF!</v>
      </c>
      <c r="H88" s="72" t="e">
        <f>SUM(I88:K88)</f>
        <v>#REF!</v>
      </c>
      <c r="I88" s="73" t="e">
        <f>'[4]7.Komunikácie'!#REF!</f>
        <v>#REF!</v>
      </c>
      <c r="J88" s="73" t="e">
        <f>'[4]7.Komunikácie'!#REF!</f>
        <v>#REF!</v>
      </c>
      <c r="K88" s="75" t="e">
        <f>'[4]7.Komunikácie'!#REF!</f>
        <v>#REF!</v>
      </c>
      <c r="L88" s="76" t="e">
        <f>SUM(M88:O88)</f>
        <v>#REF!</v>
      </c>
      <c r="M88" s="73" t="e">
        <f>'[4]7.Komunikácie'!#REF!</f>
        <v>#REF!</v>
      </c>
      <c r="N88" s="73" t="e">
        <f>'[4]7.Komunikácie'!#REF!</f>
        <v>#REF!</v>
      </c>
      <c r="O88" s="75" t="e">
        <f>'[4]7.Komunikácie'!#REF!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'[4]7.Komunikácie'!$H$39</f>
        <v>0</v>
      </c>
      <c r="V88" s="73">
        <f>'[4]7.Komunikácie'!$I$39</f>
        <v>120000</v>
      </c>
      <c r="W88" s="75">
        <f>'[4]7.Komunikácie'!$J$39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'[4]7.Komunikácie'!#REF!</f>
        <v>#REF!</v>
      </c>
      <c r="G89" s="74" t="e">
        <f>'[4]7.Komunikácie'!#REF!</f>
        <v>#REF!</v>
      </c>
      <c r="H89" s="72" t="e">
        <f>SUM(I89:K89)</f>
        <v>#REF!</v>
      </c>
      <c r="I89" s="73" t="e">
        <f>'[4]7.Komunikácie'!#REF!</f>
        <v>#REF!</v>
      </c>
      <c r="J89" s="73" t="e">
        <f>'[4]7.Komunikácie'!#REF!</f>
        <v>#REF!</v>
      </c>
      <c r="K89" s="75" t="e">
        <f>'[4]7.Komunikácie'!#REF!</f>
        <v>#REF!</v>
      </c>
      <c r="L89" s="76" t="e">
        <f>SUM(M89:O89)</f>
        <v>#REF!</v>
      </c>
      <c r="M89" s="73">
        <v>8150</v>
      </c>
      <c r="N89" s="73" t="e">
        <f>'[4]7.Komunikácie'!#REF!</f>
        <v>#REF!</v>
      </c>
      <c r="O89" s="75" t="e">
        <f>'[4]7.Komunikácie'!#REF!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'[4]7.Komunikácie'!$H$41</f>
        <v>9000</v>
      </c>
      <c r="V89" s="73">
        <f>'[4]7.Komunikácie'!$I$41</f>
        <v>0</v>
      </c>
      <c r="W89" s="75">
        <f>'[4]7.Komunikácie'!$J$41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'[4]7.Komunikácie'!#REF!</f>
        <v>#REF!</v>
      </c>
      <c r="F91" s="73" t="e">
        <f>'[4]7.Komunikácie'!#REF!</f>
        <v>#REF!</v>
      </c>
      <c r="G91" s="74" t="e">
        <f>'[4]7.Komunikácie'!#REF!</f>
        <v>#REF!</v>
      </c>
      <c r="H91" s="72" t="e">
        <f>SUM(I91:K91)</f>
        <v>#REF!</v>
      </c>
      <c r="I91" s="73" t="e">
        <f>'[4]7.Komunikácie'!#REF!</f>
        <v>#REF!</v>
      </c>
      <c r="J91" s="73" t="e">
        <f>'[4]7.Komunikácie'!#REF!</f>
        <v>#REF!</v>
      </c>
      <c r="K91" s="75" t="e">
        <f>'[4]7.Komunikácie'!#REF!</f>
        <v>#REF!</v>
      </c>
      <c r="L91" s="76" t="e">
        <f>SUM(M91:O91)</f>
        <v>#REF!</v>
      </c>
      <c r="M91" s="73" t="e">
        <f>'[4]7.Komunikácie'!#REF!</f>
        <v>#REF!</v>
      </c>
      <c r="N91" s="73" t="e">
        <f>'[4]7.Komunikácie'!#REF!</f>
        <v>#REF!</v>
      </c>
      <c r="O91" s="75" t="e">
        <f>'[4]7.Komunikácie'!#REF!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'[4]7.Komunikácie'!$H$44</f>
        <v>0</v>
      </c>
      <c r="V91" s="73">
        <f>'[4]7.Komunikácie'!$I$44</f>
        <v>0</v>
      </c>
      <c r="W91" s="75">
        <f>'[4]7.Komunikácie'!$J$44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'[4]7.Komunikácie'!#REF!</f>
        <v>#REF!</v>
      </c>
      <c r="G92" s="81" t="e">
        <f>'[4]7.Komunikácie'!#REF!</f>
        <v>#REF!</v>
      </c>
      <c r="H92" s="88" t="e">
        <f>SUM(I92:K92)</f>
        <v>#REF!</v>
      </c>
      <c r="I92" s="82" t="e">
        <f>'[4]7.Komunikácie'!#REF!</f>
        <v>#REF!</v>
      </c>
      <c r="J92" s="82" t="e">
        <f>'[4]7.Komunikácie'!#REF!</f>
        <v>#REF!</v>
      </c>
      <c r="K92" s="83" t="e">
        <f>'[4]7.Komunikácie'!#REF!</f>
        <v>#REF!</v>
      </c>
      <c r="L92" s="89" t="e">
        <f>SUM(M92:O92)</f>
        <v>#REF!</v>
      </c>
      <c r="M92" s="80" t="e">
        <f>'[4]7.Komunikácie'!#REF!</f>
        <v>#REF!</v>
      </c>
      <c r="N92" s="80" t="e">
        <f>'[4]7.Komunikácie'!#REF!</f>
        <v>#REF!</v>
      </c>
      <c r="O92" s="90" t="e">
        <f>'[4]7.Komunikácie'!#REF!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'[4]7.Komunikácie'!$H$47</f>
        <v>0</v>
      </c>
      <c r="V92" s="80">
        <f>'[4]7.Komunikácie'!$I$47</f>
        <v>0</v>
      </c>
      <c r="W92" s="90">
        <f>'[4]7.Komunikácie'!$J$47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'[4]8.Doprava'!#REF!</f>
        <v>#REF!</v>
      </c>
      <c r="G94" s="173" t="e">
        <f>'[4]8.Doprava'!#REF!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'[4]8.Doprava'!#REF!</f>
        <v>#REF!</v>
      </c>
      <c r="N94" s="172" t="e">
        <f>'[4]8.Doprava'!#REF!</f>
        <v>#REF!</v>
      </c>
      <c r="O94" s="174" t="e">
        <f>'[4]8.Doprava'!#REF!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'[4]8.Doprava'!$H$4</f>
        <v>71000</v>
      </c>
      <c r="V94" s="172">
        <f>'[4]8.Doprava'!$I$4</f>
        <v>0</v>
      </c>
      <c r="W94" s="174">
        <f>'[4]8.Doprava'!$J$4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'[4]8.Doprava'!#REF!</f>
        <v>#REF!</v>
      </c>
      <c r="G96" s="81" t="e">
        <f>'[4]8.Doprava'!#REF!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'[4]8.Doprava'!#REF!</f>
        <v>#REF!</v>
      </c>
      <c r="N96" s="80" t="e">
        <f>'[4]8.Doprava'!#REF!</f>
        <v>#REF!</v>
      </c>
      <c r="O96" s="90" t="e">
        <f>'[4]8.Doprava'!#REF!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'[4]8.Doprava'!$H$7</f>
        <v>2850</v>
      </c>
      <c r="V96" s="80">
        <f>'[4]8.Doprava'!$I$7</f>
        <v>0</v>
      </c>
      <c r="W96" s="90">
        <f>'[4]8.Doprava'!$J$7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'[4]9. Vzdelávanie'!#REF!</f>
        <v>#REF!</v>
      </c>
      <c r="G98" s="173" t="e">
        <f>'[4]9.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'[4]9. Vzdelávanie'!#REF!</f>
        <v>#REF!</v>
      </c>
      <c r="N98" s="172" t="e">
        <f>'[4]9. Vzdelávanie'!#REF!</f>
        <v>#REF!</v>
      </c>
      <c r="O98" s="174" t="e">
        <f>'[4]9.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'[4]9. Vzdelávanie'!$H$4</f>
        <v>4292</v>
      </c>
      <c r="V98" s="172">
        <f>'[4]9. Vzdelávanie'!$I$4</f>
        <v>0</v>
      </c>
      <c r="W98" s="174">
        <f>'[4]9.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'[4]9. Vzdelávanie'!#REF!</f>
        <v>#REF!</v>
      </c>
      <c r="G100" s="74" t="e">
        <f>'[4]9.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'[4]9. Vzdelávanie'!#REF!</f>
        <v>#REF!</v>
      </c>
      <c r="N100" s="73" t="e">
        <f>'[4]9. Vzdelávanie'!#REF!</f>
        <v>#REF!</v>
      </c>
      <c r="O100" s="75" t="e">
        <f>'[4]9.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'[5]9. Vzdelávanie'!$Q$9</f>
        <v>1431</v>
      </c>
      <c r="V100" s="73" t="e">
        <f>'[4]9. Vzdelávanie'!$I$33</f>
        <v>#REF!</v>
      </c>
      <c r="W100" s="75" t="e">
        <f>'[4]9.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'[4]9. Vzdelávanie'!#REF!</f>
        <v>#REF!</v>
      </c>
      <c r="G101" s="74" t="e">
        <f>'[4]9.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'[4]9. Vzdelávanie'!#REF!</f>
        <v>#REF!</v>
      </c>
      <c r="N101" s="73" t="e">
        <f>'[4]9. Vzdelávanie'!#REF!</f>
        <v>#REF!</v>
      </c>
      <c r="O101" s="75" t="e">
        <f>'[4]9.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'[5]9. Vzdelávanie'!$Q$18</f>
        <v>1479615</v>
      </c>
      <c r="V101" s="73" t="e">
        <f>'[4]9. Vzdelávanie'!$I$34</f>
        <v>#REF!</v>
      </c>
      <c r="W101" s="75" t="e">
        <f>'[4]9.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'[4]9.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'[4]9. Vzdelávanie'!#REF!</f>
        <v>#REF!</v>
      </c>
      <c r="N102" s="73" t="e">
        <f>'[4]9. Vzdelávanie'!#REF!</f>
        <v>#REF!</v>
      </c>
      <c r="O102" s="75" t="e">
        <f>'[4]9.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'[5]9. Vzdelávanie'!$Q$19</f>
        <v>147030</v>
      </c>
      <c r="V102" s="73">
        <f>'[4]9. Vzdelávanie'!$I$35</f>
        <v>0</v>
      </c>
      <c r="W102" s="75">
        <f>'[4]9.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'[4]9. Vzdelávanie'!#REF!</f>
        <v>#REF!</v>
      </c>
      <c r="F103" s="73" t="e">
        <f>'[4]9. Vzdelávanie'!#REF!</f>
        <v>#REF!</v>
      </c>
      <c r="G103" s="74" t="e">
        <f>'[4]9.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'[4]9. Vzdelávanie'!#REF!</f>
        <v>#REF!</v>
      </c>
      <c r="N103" s="73" t="e">
        <f>'[4]9. Vzdelávanie'!#REF!</f>
        <v>#REF!</v>
      </c>
      <c r="O103" s="75" t="e">
        <f>'[4]9.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'[4]9. Vzdelávanie'!$H$38</f>
        <v>0</v>
      </c>
      <c r="V103" s="73">
        <f>'[4]9. Vzdelávanie'!$I$38</f>
        <v>0</v>
      </c>
      <c r="W103" s="75" t="e">
        <f>'[4]9.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'[4]9. Vzdelávanie'!#REF!</f>
        <v>#REF!</v>
      </c>
      <c r="G104" s="74" t="e">
        <f>'[4]9.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'[4]9. Vzdelávanie'!#REF!</f>
        <v>#REF!</v>
      </c>
      <c r="N104" s="73" t="e">
        <f>'[4]9. Vzdelávanie'!#REF!</f>
        <v>#REF!</v>
      </c>
      <c r="O104" s="75" t="e">
        <f>'[4]9.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'[5]9. Vzdelávanie'!#REF!</f>
        <v>#REF!</v>
      </c>
      <c r="V104" s="73" t="e">
        <f>'[4]9. Vzdelávanie'!$I$39</f>
        <v>#REF!</v>
      </c>
      <c r="W104" s="75" t="e">
        <f>'[4]9.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'[4]9.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'[4]9. Vzdelávanie'!#REF!</f>
        <v>#REF!</v>
      </c>
      <c r="N105" s="73" t="e">
        <f>'[4]9. Vzdelávanie'!#REF!</f>
        <v>#REF!</v>
      </c>
      <c r="O105" s="75" t="e">
        <f>'[4]9.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'[5]9. Vzdelávanie'!$Q$22</f>
        <v>84028</v>
      </c>
      <c r="V105" s="73">
        <f>'[4]9. Vzdelávanie'!$I$40</f>
        <v>0</v>
      </c>
      <c r="W105" s="75">
        <f>'[4]9.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'[4]9.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'[4]9. Vzdelávanie'!#REF!</f>
        <v>#REF!</v>
      </c>
      <c r="N106" s="73" t="e">
        <f>'[4]9. Vzdelávanie'!#REF!</f>
        <v>#REF!</v>
      </c>
      <c r="O106" s="75" t="e">
        <f>'[4]9.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'[5]9. Vzdelávanie'!#REF!</f>
        <v>#REF!</v>
      </c>
      <c r="V106" s="73" t="e">
        <f>'[4]9. Vzdelávanie'!$I$43</f>
        <v>#REF!</v>
      </c>
      <c r="W106" s="75" t="e">
        <f>'[4]9.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'[4]9. Vzdelávanie'!#REF!</f>
        <v>#REF!</v>
      </c>
      <c r="G108" s="74" t="e">
        <f>'[4]9.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'[4]9. Vzdelávanie'!#REF!</f>
        <v>#REF!</v>
      </c>
      <c r="N108" s="73" t="e">
        <f>'[4]9. Vzdelávanie'!#REF!</f>
        <v>#REF!</v>
      </c>
      <c r="O108" s="75" t="e">
        <f>'[4]9.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'[5]9. Vzdelávanie'!$Q$25</f>
        <v>185514</v>
      </c>
      <c r="V108" s="73" t="e">
        <f>'[4]9. Vzdelávanie'!$I$46</f>
        <v>#REF!</v>
      </c>
      <c r="W108" s="75" t="e">
        <f>'[4]9.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'[4]9.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'[4]9. Vzdelávanie'!#REF!</f>
        <v>#REF!</v>
      </c>
      <c r="N109" s="73" t="e">
        <f>'[4]9. Vzdelávanie'!#REF!</f>
        <v>#REF!</v>
      </c>
      <c r="O109" s="75" t="e">
        <f>'[4]9.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'[5]9. Vzdelávanie'!$Q$26</f>
        <v>33520</v>
      </c>
      <c r="V109" s="73" t="e">
        <f>'[4]9. Vzdelávanie'!$I$47</f>
        <v>#REF!</v>
      </c>
      <c r="W109" s="75" t="e">
        <f>'[4]9.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'[4]9. Vzdelávanie'!#REF!</f>
        <v>#REF!</v>
      </c>
      <c r="G110" s="74" t="e">
        <f>'[4]9.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'[4]9. Vzdelávanie'!#REF!</f>
        <v>#REF!</v>
      </c>
      <c r="N110" s="73" t="e">
        <f>'[4]9. Vzdelávanie'!#REF!</f>
        <v>#REF!</v>
      </c>
      <c r="O110" s="75" t="e">
        <f>'[4]9.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'[5]9. Vzdelávanie'!$Q$27</f>
        <v>3786847</v>
      </c>
      <c r="V110" s="73">
        <f>'[4]9. Vzdelávanie'!$I$48</f>
        <v>0</v>
      </c>
      <c r="W110" s="75">
        <f>'[4]9.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'[4]9.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'[4]9. Vzdelávanie'!#REF!</f>
        <v>#REF!</v>
      </c>
      <c r="N111" s="73" t="e">
        <f>'[4]9. Vzdelávanie'!#REF!</f>
        <v>#REF!</v>
      </c>
      <c r="O111" s="75" t="e">
        <f>'[4]9.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'[5]9. Vzdelávanie'!$Q$36</f>
        <v>0</v>
      </c>
      <c r="V111" s="73" t="e">
        <f>'[4]9. Vzdelávanie'!$I$53</f>
        <v>#REF!</v>
      </c>
      <c r="W111" s="75" t="e">
        <f>'[4]9.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'[4]9. Vzdelávanie'!#REF!</f>
        <v>#REF!</v>
      </c>
      <c r="G112" s="74" t="e">
        <f>'[4]9.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'[4]9. Vzdelávanie'!#REF!</f>
        <v>#REF!</v>
      </c>
      <c r="N112" s="73" t="e">
        <f>'[4]9. Vzdelávanie'!#REF!</f>
        <v>#REF!</v>
      </c>
      <c r="O112" s="75" t="e">
        <f>'[4]9.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'[5]9. Vzdelávanie'!$Q$37</f>
        <v>1055759</v>
      </c>
      <c r="V112" s="73">
        <f>'[4]9. Vzdelávanie'!$I$54</f>
        <v>4320</v>
      </c>
      <c r="W112" s="75" t="e">
        <f>'[4]9.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'[4]9. Vzdelávanie'!#REF!</f>
        <v>#REF!</v>
      </c>
      <c r="G113" s="74" t="e">
        <f>'[4]9.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'[4]9. Vzdelávanie'!#REF!</f>
        <v>#REF!</v>
      </c>
      <c r="N113" s="73" t="e">
        <f>'[4]9. Vzdelávanie'!#REF!</f>
        <v>#REF!</v>
      </c>
      <c r="O113" s="75" t="e">
        <f>'[4]9.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'[5]9. Vzdelávanie'!$Q$38</f>
        <v>0</v>
      </c>
      <c r="V113" s="73">
        <f>'[5]9. Vzdelávanie'!$R$38</f>
        <v>0</v>
      </c>
      <c r="W113" s="75">
        <f>'[4]9.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'[4]9. Vzdelávanie'!#REF!</f>
        <v>#REF!</v>
      </c>
      <c r="G115" s="74" t="e">
        <f>'[4]9.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'[4]9. Vzdelávanie'!#REF!</f>
        <v>#REF!</v>
      </c>
      <c r="N115" s="73" t="e">
        <f>'[4]9. Vzdelávanie'!#REF!</f>
        <v>#REF!</v>
      </c>
      <c r="O115" s="75" t="e">
        <f>'[4]9.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'[5]9. Vzdelávanie'!$Q$46</f>
        <v>403289</v>
      </c>
      <c r="V115" s="73" t="e">
        <f>'[4]9. Vzdelávanie'!$I$59</f>
        <v>#REF!</v>
      </c>
      <c r="W115" s="75" t="e">
        <f>'[4]9.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'[4]9. Vzdelávanie'!#REF!</f>
        <v>#REF!</v>
      </c>
      <c r="G116" s="74" t="e">
        <f>'[4]9.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'[4]9. Vzdelávanie'!#REF!</f>
        <v>#REF!</v>
      </c>
      <c r="N116" s="73" t="e">
        <f>'[4]9. Vzdelávanie'!#REF!</f>
        <v>#REF!</v>
      </c>
      <c r="O116" s="75" t="e">
        <f>'[4]9.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'[5]9. Vzdelávanie'!#REF!</f>
        <v>#REF!</v>
      </c>
      <c r="V116" s="73" t="e">
        <f>'[4]9. Vzdelávanie'!$I$60</f>
        <v>#REF!</v>
      </c>
      <c r="W116" s="75" t="e">
        <f>'[4]9.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'[4]9. Vzdelávanie'!#REF!</f>
        <v>#REF!</v>
      </c>
      <c r="G117" s="173" t="e">
        <f>'[4]9.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'[4]9. Vzdelávanie'!#REF!</f>
        <v>#REF!</v>
      </c>
      <c r="N117" s="172" t="e">
        <f>'[4]9. Vzdelávanie'!#REF!</f>
        <v>#REF!</v>
      </c>
      <c r="O117" s="174" t="e">
        <f>'[4]9.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'[4]9. Vzdelávanie'!$H$61</f>
        <v>212760</v>
      </c>
      <c r="V117" s="172">
        <f>'[4]9. Vzdelávanie'!$I$61</f>
        <v>0</v>
      </c>
      <c r="W117" s="174">
        <f>'[4]9.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'[4]9.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'[4]9. Vzdelávanie'!#REF!</f>
        <v>#REF!</v>
      </c>
      <c r="N118" s="172" t="e">
        <f>'[4]9. Vzdelávanie'!#REF!</f>
        <v>#REF!</v>
      </c>
      <c r="O118" s="174" t="e">
        <f>'[4]9.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'[4]9. Vzdelávanie'!$H$72</f>
        <v>243590</v>
      </c>
      <c r="V118" s="172" t="e">
        <f>'[4]9. Vzdelávanie'!$I$72</f>
        <v>#REF!</v>
      </c>
      <c r="W118" s="174" t="e">
        <f>'[4]9.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'[4]9. Vzdelávanie'!#REF!</f>
        <v>#REF!</v>
      </c>
      <c r="G119" s="180" t="e">
        <f>'[4]9.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'[4]9. Vzdelávanie'!#REF!</f>
        <v>#REF!</v>
      </c>
      <c r="N119" s="179" t="e">
        <f>'[4]9. Vzdelávanie'!#REF!</f>
        <v>#REF!</v>
      </c>
      <c r="O119" s="188" t="e">
        <f>'[4]9.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'[4]9. Vzdelávanie'!$H$73</f>
        <v>0</v>
      </c>
      <c r="V119" s="179">
        <f>'[4]9. Vzdelávanie'!$I$73</f>
        <v>0</v>
      </c>
      <c r="W119" s="188">
        <f>'[4]9.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'[4]10. Šport'!#REF!</f>
        <v>#REF!</v>
      </c>
      <c r="G121" s="173" t="e">
        <f>'[4]10.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'[4]10. Šport'!#REF!</f>
        <v>#REF!</v>
      </c>
      <c r="N121" s="172" t="e">
        <f>'[4]10. Šport'!#REF!</f>
        <v>#REF!</v>
      </c>
      <c r="O121" s="174" t="e">
        <f>'[4]10.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'[4]10. Šport'!$H$4</f>
        <v>500</v>
      </c>
      <c r="V121" s="172">
        <f>'[4]10. Šport'!$I$4</f>
        <v>0</v>
      </c>
      <c r="W121" s="174">
        <f>'[4]10.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'[4]10. Šport'!#REF!</f>
        <v>#REF!</v>
      </c>
      <c r="G123" s="74" t="e">
        <f>'[4]10.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'[4]10. Šport'!#REF!</f>
        <v>#REF!</v>
      </c>
      <c r="N123" s="73" t="e">
        <f>'[4]10. Šport'!#REF!</f>
        <v>#REF!</v>
      </c>
      <c r="O123" s="75" t="e">
        <f>'[4]10.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'[4]10. Šport'!$H$9</f>
        <v>42170</v>
      </c>
      <c r="V123" s="73">
        <f>'[4]10. Šport'!$I$9</f>
        <v>0</v>
      </c>
      <c r="W123" s="75">
        <f>'[4]10.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'[4]10. Šport'!#REF!</f>
        <v>#REF!</v>
      </c>
      <c r="H124" s="72" t="e">
        <f t="shared" si="59"/>
        <v>#REF!</v>
      </c>
      <c r="I124" s="73">
        <v>27121</v>
      </c>
      <c r="J124" s="73" t="e">
        <f>'[4]10. Šport'!#REF!</f>
        <v>#REF!</v>
      </c>
      <c r="K124" s="75">
        <v>0</v>
      </c>
      <c r="L124" s="72" t="e">
        <f t="shared" si="60"/>
        <v>#REF!</v>
      </c>
      <c r="M124" s="73" t="e">
        <f>'[4]10. Šport'!#REF!</f>
        <v>#REF!</v>
      </c>
      <c r="N124" s="73" t="e">
        <f>'[4]10. Šport'!#REF!</f>
        <v>#REF!</v>
      </c>
      <c r="O124" s="75" t="e">
        <f>'[4]10.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'[4]10. Šport'!$H$23</f>
        <v>45954</v>
      </c>
      <c r="V124" s="73">
        <f>'[4]10. Šport'!$I$23</f>
        <v>0</v>
      </c>
      <c r="W124" s="75">
        <f>'[4]10.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'[4]10. Šport'!#REF!</f>
        <v>#REF!</v>
      </c>
      <c r="G125" s="74" t="e">
        <f>'[4]10.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'[4]10. Šport'!#REF!</f>
        <v>#REF!</v>
      </c>
      <c r="N125" s="73" t="e">
        <f>'[4]10. Šport'!#REF!</f>
        <v>#REF!</v>
      </c>
      <c r="O125" s="75" t="e">
        <f>'[4]10.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'[4]10. Šport'!$H$36</f>
        <v>18820</v>
      </c>
      <c r="V125" s="73">
        <f>'[4]10. Šport'!$I$36</f>
        <v>0</v>
      </c>
      <c r="W125" s="75">
        <f>'[4]10.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'[4]10. Šport'!#REF!</f>
        <v>#REF!</v>
      </c>
      <c r="G126" s="74" t="e">
        <f>'[4]10.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'[4]10. Šport'!#REF!</f>
        <v>#REF!</v>
      </c>
      <c r="N126" s="73" t="e">
        <f>'[4]10. Šport'!#REF!</f>
        <v>#REF!</v>
      </c>
      <c r="O126" s="75" t="e">
        <f>'[4]10.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'[5]10. Šport'!$Q$38</f>
        <v>16800</v>
      </c>
      <c r="V126" s="73">
        <f>'[4]10. Šport'!$I$44</f>
        <v>0</v>
      </c>
      <c r="W126" s="75">
        <f>'[4]10.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'[4]10. Šport'!#REF!</f>
        <v>#REF!</v>
      </c>
      <c r="G127" s="74" t="e">
        <f>'[4]10.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'[4]10. Šport'!#REF!</f>
        <v>#REF!</v>
      </c>
      <c r="N127" s="73" t="e">
        <f>'[4]10. Šport'!#REF!</f>
        <v>#REF!</v>
      </c>
      <c r="O127" s="75" t="e">
        <f>'[4]10.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'[4]10. Šport'!$H$57</f>
        <v>1900</v>
      </c>
      <c r="V127" s="73">
        <f>'[4]10. Šport'!$I$57</f>
        <v>0</v>
      </c>
      <c r="W127" s="75">
        <f>'[4]10.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'[5]10. Šport'!$Q$56</f>
        <v>12000</v>
      </c>
      <c r="V128" s="82">
        <f>'[4]10. Šport'!$I$63</f>
        <v>0</v>
      </c>
      <c r="W128" s="83">
        <f>'[4]10.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'[4]10. Šport'!#REF!</f>
        <v>#REF!</v>
      </c>
      <c r="G129" s="180" t="e">
        <f>'[4]10.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'[4]10. Šport'!#REF!</f>
        <v>#REF!</v>
      </c>
      <c r="N129" s="179" t="e">
        <f>'[4]10. Šport'!#REF!</f>
        <v>#REF!</v>
      </c>
      <c r="O129" s="188" t="e">
        <f>'[4]10.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'[4]10. Šport'!$H$67</f>
        <v>#REF!</v>
      </c>
      <c r="V129" s="179" t="e">
        <f>'[4]10. Šport'!$I$67</f>
        <v>#REF!</v>
      </c>
      <c r="W129" s="188" t="e">
        <f>'[4]10.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'[4]11. Kultúra'!#REF!</f>
        <v>#REF!</v>
      </c>
      <c r="G131" s="173" t="e">
        <f>'[4]11. Kultúra'!#REF!</f>
        <v>#REF!</v>
      </c>
      <c r="H131" s="171" t="e">
        <f>SUM(I131:K131)</f>
        <v>#REF!</v>
      </c>
      <c r="I131" s="172" t="e">
        <f>'[4]11. Kultúra'!#REF!</f>
        <v>#REF!</v>
      </c>
      <c r="J131" s="172" t="e">
        <f>'[4]11. Kultúra'!#REF!</f>
        <v>#REF!</v>
      </c>
      <c r="K131" s="174" t="e">
        <f>'[4]11. Kultúra'!#REF!</f>
        <v>#REF!</v>
      </c>
      <c r="L131" s="175" t="e">
        <f>SUM(M131:O131)</f>
        <v>#REF!</v>
      </c>
      <c r="M131" s="172" t="e">
        <f>'[4]11. Kultúra'!#REF!</f>
        <v>#REF!</v>
      </c>
      <c r="N131" s="172" t="e">
        <f>'[4]11. Kultúra'!#REF!</f>
        <v>#REF!</v>
      </c>
      <c r="O131" s="174" t="e">
        <f>'[4]11.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'[4]11. Kultúra'!$H$4</f>
        <v>2940</v>
      </c>
      <c r="V131" s="172">
        <f>'[4]11. Kultúra'!$I$4</f>
        <v>0</v>
      </c>
      <c r="W131" s="174">
        <f>'[4]11.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'[4]11. Kultúra'!#REF!</f>
        <v>#REF!</v>
      </c>
      <c r="H133" s="72" t="e">
        <f t="shared" ref="H133:H138" si="65">SUM(I133:K133)</f>
        <v>#REF!</v>
      </c>
      <c r="I133" s="73" t="e">
        <f>'[4]11. Kultúra'!#REF!</f>
        <v>#REF!</v>
      </c>
      <c r="J133" s="73" t="e">
        <f>'[4]11. Kultúra'!#REF!</f>
        <v>#REF!</v>
      </c>
      <c r="K133" s="75" t="e">
        <f>'[4]11. Kultúra'!#REF!</f>
        <v>#REF!</v>
      </c>
      <c r="L133" s="76" t="e">
        <f t="shared" ref="L133:L138" si="66">SUM(M133:O133)</f>
        <v>#REF!</v>
      </c>
      <c r="M133" s="73" t="e">
        <f>'[4]11. Kultúra'!#REF!</f>
        <v>#REF!</v>
      </c>
      <c r="N133" s="73" t="e">
        <f>'[4]11. Kultúra'!#REF!</f>
        <v>#REF!</v>
      </c>
      <c r="O133" s="75" t="e">
        <f>'[4]11.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'[4]11. Kultúra'!$H$24</f>
        <v>109400</v>
      </c>
      <c r="V133" s="73">
        <f>'[4]11. Kultúra'!$I$24</f>
        <v>0</v>
      </c>
      <c r="W133" s="75">
        <f>'[4]11.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'[4]11. Kultúra'!#REF!</f>
        <v>#REF!</v>
      </c>
      <c r="G134" s="74" t="e">
        <f>'[4]11. Kultúra'!#REF!</f>
        <v>#REF!</v>
      </c>
      <c r="H134" s="72" t="e">
        <f t="shared" si="65"/>
        <v>#REF!</v>
      </c>
      <c r="I134" s="73" t="e">
        <f>'[4]11. Kultúra'!#REF!</f>
        <v>#REF!</v>
      </c>
      <c r="J134" s="73" t="e">
        <f>'[4]11. Kultúra'!#REF!</f>
        <v>#REF!</v>
      </c>
      <c r="K134" s="75" t="e">
        <f>'[4]11. Kultúra'!#REF!</f>
        <v>#REF!</v>
      </c>
      <c r="L134" s="76" t="e">
        <f t="shared" si="66"/>
        <v>#REF!</v>
      </c>
      <c r="M134" s="73" t="e">
        <f>'[4]11. Kultúra'!#REF!</f>
        <v>#REF!</v>
      </c>
      <c r="N134" s="73" t="e">
        <f>'[4]11. Kultúra'!#REF!</f>
        <v>#REF!</v>
      </c>
      <c r="O134" s="75" t="e">
        <f>'[4]11.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'[4]11. Kultúra'!$H$30</f>
        <v>2355</v>
      </c>
      <c r="V134" s="73">
        <f>'[4]11. Kultúra'!$I$30</f>
        <v>0</v>
      </c>
      <c r="W134" s="75">
        <f>'[4]11.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'[4]11. Kultúra'!#REF!</f>
        <v>#REF!</v>
      </c>
      <c r="H135" s="72" t="e">
        <f t="shared" si="65"/>
        <v>#REF!</v>
      </c>
      <c r="I135" s="73" t="e">
        <f>'[4]11. Kultúra'!#REF!</f>
        <v>#REF!</v>
      </c>
      <c r="J135" s="73" t="e">
        <f>'[4]11. Kultúra'!#REF!</f>
        <v>#REF!</v>
      </c>
      <c r="K135" s="75" t="e">
        <f>'[4]11. Kultúra'!#REF!</f>
        <v>#REF!</v>
      </c>
      <c r="L135" s="76" t="e">
        <f t="shared" si="66"/>
        <v>#REF!</v>
      </c>
      <c r="M135" s="73" t="e">
        <f>'[4]11. Kultúra'!#REF!</f>
        <v>#REF!</v>
      </c>
      <c r="N135" s="73" t="e">
        <f>'[4]11. Kultúra'!#REF!</f>
        <v>#REF!</v>
      </c>
      <c r="O135" s="75" t="e">
        <f>'[4]11.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'[4]11. Kultúra'!$H$43</f>
        <v>306185</v>
      </c>
      <c r="V135" s="73">
        <f>'[4]11. Kultúra'!$I$43</f>
        <v>65088</v>
      </c>
      <c r="W135" s="75">
        <f>'[4]11.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'[4]11. Kultúra'!#REF!</f>
        <v>#REF!</v>
      </c>
      <c r="G136" s="74" t="e">
        <f>'[4]11. Kultúra'!#REF!</f>
        <v>#REF!</v>
      </c>
      <c r="H136" s="72" t="e">
        <f t="shared" si="65"/>
        <v>#REF!</v>
      </c>
      <c r="I136" s="73" t="e">
        <f>'[4]11. Kultúra'!#REF!</f>
        <v>#REF!</v>
      </c>
      <c r="J136" s="73" t="e">
        <f>'[4]11. Kultúra'!#REF!</f>
        <v>#REF!</v>
      </c>
      <c r="K136" s="75" t="e">
        <f>'[4]11. Kultúra'!#REF!</f>
        <v>#REF!</v>
      </c>
      <c r="L136" s="76" t="e">
        <f t="shared" si="66"/>
        <v>#REF!</v>
      </c>
      <c r="M136" s="73">
        <v>19300</v>
      </c>
      <c r="N136" s="73" t="e">
        <f>'[4]11. Kultúra'!#REF!</f>
        <v>#REF!</v>
      </c>
      <c r="O136" s="75" t="e">
        <f>'[4]11.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'[4]11. Kultúra'!$H$141</f>
        <v>#REF!</v>
      </c>
      <c r="V136" s="73" t="e">
        <f>'[4]11. Kultúra'!$I$140</f>
        <v>#REF!</v>
      </c>
      <c r="W136" s="75" t="e">
        <f>'[4]11.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'[4]11. Kultúra'!#REF!</f>
        <v>#REF!</v>
      </c>
      <c r="H137" s="171" t="e">
        <f t="shared" si="65"/>
        <v>#REF!</v>
      </c>
      <c r="I137" s="172" t="e">
        <f>'[4]11. Kultúra'!#REF!</f>
        <v>#REF!</v>
      </c>
      <c r="J137" s="172" t="e">
        <f>'[4]11. Kultúra'!#REF!</f>
        <v>#REF!</v>
      </c>
      <c r="K137" s="174" t="e">
        <f>'[4]11. Kultúra'!#REF!</f>
        <v>#REF!</v>
      </c>
      <c r="L137" s="175" t="e">
        <f t="shared" si="66"/>
        <v>#REF!</v>
      </c>
      <c r="M137" s="172">
        <v>3300</v>
      </c>
      <c r="N137" s="172" t="e">
        <f>'[4]11. Kultúra'!#REF!</f>
        <v>#REF!</v>
      </c>
      <c r="O137" s="174" t="e">
        <f>'[4]11.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'[4]11. Kultúra'!$H$156</f>
        <v>300</v>
      </c>
      <c r="V137" s="172" t="e">
        <f>'[4]11. Kultúra'!$I$156</f>
        <v>#REF!</v>
      </c>
      <c r="W137" s="174" t="e">
        <f>'[4]11.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'[4]11. Kultúra'!#REF!</f>
        <v>#REF!</v>
      </c>
      <c r="G138" s="201" t="e">
        <f>'[4]11. Kultúra'!#REF!</f>
        <v>#REF!</v>
      </c>
      <c r="H138" s="202" t="e">
        <f t="shared" si="65"/>
        <v>#REF!</v>
      </c>
      <c r="I138" s="203" t="e">
        <f>'[4]11. Kultúra'!#REF!</f>
        <v>#REF!</v>
      </c>
      <c r="J138" s="203" t="e">
        <f>'[4]11. Kultúra'!#REF!</f>
        <v>#REF!</v>
      </c>
      <c r="K138" s="204" t="e">
        <f>'[4]11. Kultúra'!#REF!</f>
        <v>#REF!</v>
      </c>
      <c r="L138" s="187" t="e">
        <f t="shared" si="66"/>
        <v>#REF!</v>
      </c>
      <c r="M138" s="179">
        <v>0</v>
      </c>
      <c r="N138" s="179" t="e">
        <f>'[4]11. Kultúra'!#REF!</f>
        <v>#REF!</v>
      </c>
      <c r="O138" s="205" t="e">
        <f>'[4]11.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'[4]11. Kultúra'!$H$160</f>
        <v>#REF!</v>
      </c>
      <c r="V138" s="179" t="e">
        <f>'[4]11. Kultúra'!$I$160</f>
        <v>#REF!</v>
      </c>
      <c r="W138" s="205" t="e">
        <f>'[4]11.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'[4]12. Prostredie pre život'!#REF!</f>
        <v>#REF!</v>
      </c>
      <c r="G141" s="74" t="e">
        <f>'[4]12.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'[4]12. Prostredie pre život'!#REF!</f>
        <v>#REF!</v>
      </c>
      <c r="N141" s="73" t="e">
        <f>'[4]12. Prostredie pre život'!#REF!</f>
        <v>#REF!</v>
      </c>
      <c r="O141" s="75" t="e">
        <f>'[4]12.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'[4]12. Prostredie pre život'!$H$5</f>
        <v>117930</v>
      </c>
      <c r="V141" s="73">
        <f>'[4]12. Prostredie pre život'!$I$5</f>
        <v>0</v>
      </c>
      <c r="W141" s="75">
        <f>'[4]12.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'[4]12. Prostredie pre život'!#REF!</f>
        <v>#REF!</v>
      </c>
      <c r="F142" s="73" t="e">
        <f>'[4]12. Prostredie pre život'!#REF!</f>
        <v>#REF!</v>
      </c>
      <c r="G142" s="74" t="e">
        <f>'[4]12.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'[4]12. Prostredie pre život'!#REF!</f>
        <v>#REF!</v>
      </c>
      <c r="N142" s="73" t="e">
        <f>'[4]12. Prostredie pre život'!#REF!</f>
        <v>#REF!</v>
      </c>
      <c r="O142" s="75" t="e">
        <f>'[4]12.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'[4]12. Prostredie pre život'!$H$19</f>
        <v>450</v>
      </c>
      <c r="V142" s="73">
        <f>'[4]12. Prostredie pre život'!$I$19</f>
        <v>0</v>
      </c>
      <c r="W142" s="75">
        <f>'[4]12.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'[4]12.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'[4]12. Prostredie pre život'!#REF!</f>
        <v>#REF!</v>
      </c>
      <c r="O143" s="75" t="e">
        <f>'[4]12.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'[4]12. Prostredie pre život'!$H$21</f>
        <v>151902</v>
      </c>
      <c r="V143" s="73">
        <f>'[4]12. Prostredie pre život'!$I$21</f>
        <v>1921299</v>
      </c>
      <c r="W143" s="75">
        <f>'[4]12.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'[4]12. Prostredie pre život'!#REF!</f>
        <v>#REF!</v>
      </c>
      <c r="G144" s="74" t="e">
        <f>'[4]12.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'[4]12. Prostredie pre život'!#REF!</f>
        <v>#REF!</v>
      </c>
      <c r="N144" s="73" t="e">
        <f>'[4]12. Prostredie pre život'!#REF!</f>
        <v>#REF!</v>
      </c>
      <c r="O144" s="75" t="e">
        <f>'[4]12.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'[4]12. Prostredie pre život'!$H$39</f>
        <v>2850</v>
      </c>
      <c r="V144" s="73">
        <f>'[4]12. Prostredie pre život'!$I$39</f>
        <v>0</v>
      </c>
      <c r="W144" s="75">
        <f>'[4]12.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'[4]12. Prostredie pre život'!#REF!</f>
        <v>#REF!</v>
      </c>
      <c r="G145" s="173" t="e">
        <f>'[4]12.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'[4]12. Prostredie pre život'!#REF!</f>
        <v>#REF!</v>
      </c>
      <c r="N145" s="172" t="e">
        <f>'[4]12. Prostredie pre život'!#REF!</f>
        <v>#REF!</v>
      </c>
      <c r="O145" s="174" t="e">
        <f>'[4]12.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'[4]12. Prostredie pre život'!$H$45</f>
        <v>1825</v>
      </c>
      <c r="V145" s="172">
        <f>'[4]12. Prostredie pre život'!$I$45</f>
        <v>0</v>
      </c>
      <c r="W145" s="174">
        <f>'[4]12.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'[4]12. Prostredie pre život'!#REF!</f>
        <v>#REF!</v>
      </c>
      <c r="G146" s="173" t="e">
        <f>'[4]12.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'[4]12. Prostredie pre život'!#REF!</f>
        <v>#REF!</v>
      </c>
      <c r="N146" s="172" t="e">
        <f>'[4]12. Prostredie pre život'!#REF!</f>
        <v>#REF!</v>
      </c>
      <c r="O146" s="174" t="e">
        <f>'[4]12.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'[4]12. Prostredie pre život'!$H$48</f>
        <v>6840</v>
      </c>
      <c r="V146" s="172">
        <f>'[4]12. Prostredie pre život'!$I$48</f>
        <v>7000</v>
      </c>
      <c r="W146" s="174">
        <f>'[4]12.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'[4]12. Prostredie pre život'!#REF!</f>
        <v>#REF!</v>
      </c>
      <c r="G147" s="173" t="e">
        <f>'[4]12.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'[4]12. Prostredie pre život'!#REF!</f>
        <v>#REF!</v>
      </c>
      <c r="N147" s="172" t="e">
        <f>'[4]12. Prostredie pre život'!#REF!</f>
        <v>#REF!</v>
      </c>
      <c r="O147" s="174" t="e">
        <f>'[4]12.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'[4]12. Prostredie pre život'!$H$60</f>
        <v>75</v>
      </c>
      <c r="V147" s="172">
        <f>'[4]12. Prostredie pre život'!$I$60</f>
        <v>0</v>
      </c>
      <c r="W147" s="174">
        <f>'[4]12.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'[4]12. Prostredie pre život'!#REF!</f>
        <v>#REF!</v>
      </c>
      <c r="G148" s="173" t="e">
        <f>'[4]12.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'[4]12. Prostredie pre život'!#REF!</f>
        <v>#REF!</v>
      </c>
      <c r="N148" s="172" t="e">
        <f>'[4]12. Prostredie pre život'!#REF!</f>
        <v>#REF!</v>
      </c>
      <c r="O148" s="174" t="e">
        <f>'[4]12.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'[4]12. Prostredie pre život'!$H$62</f>
        <v>19460</v>
      </c>
      <c r="V148" s="172">
        <f>'[4]12. Prostredie pre život'!$I$62</f>
        <v>0</v>
      </c>
      <c r="W148" s="174">
        <f>'[4]12.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'[4]12.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'[4]12. Prostredie pre život'!#REF!</f>
        <v>#REF!</v>
      </c>
      <c r="N149" s="181" t="e">
        <f>'[4]12. Prostredie pre život'!#REF!</f>
        <v>#REF!</v>
      </c>
      <c r="O149" s="182" t="e">
        <f>'[4]12.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'[4]12. Prostredie pre život'!$H$69</f>
        <v>28950</v>
      </c>
      <c r="V149" s="181">
        <f>'[4]12. Prostredie pre život'!$I$69</f>
        <v>8480</v>
      </c>
      <c r="W149" s="182">
        <f>'[4]12.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'[4]12. Prostredie pre život'!#REF!</f>
        <v>#REF!</v>
      </c>
      <c r="G150" s="180" t="e">
        <f>'[4]12.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'[4]12. Prostredie pre život'!#REF!</f>
        <v>#REF!</v>
      </c>
      <c r="N150" s="179" t="e">
        <f>'[4]12. Prostredie pre život'!#REF!</f>
        <v>#REF!</v>
      </c>
      <c r="O150" s="188" t="e">
        <f>'[4]12.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'[4]12. Prostredie pre život'!$H$98</f>
        <v>0</v>
      </c>
      <c r="V150" s="179">
        <f>'[4]12. Prostredie pre život'!$I$98</f>
        <v>0</v>
      </c>
      <c r="W150" s="188">
        <f>'[4]12.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'[4]13. Sociálna starostlivosť'!#REF!</f>
        <v>#REF!</v>
      </c>
      <c r="G153" s="74" t="e">
        <f>'[4]13.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'[4]13. Sociálna starostlivosť'!#REF!</f>
        <v>#REF!</v>
      </c>
      <c r="O153" s="75" t="e">
        <f>'[4]13.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'[4]13. Sociálna starostlivosť'!$H$5</f>
        <v>0</v>
      </c>
      <c r="V153" s="73">
        <f>'[4]13. Sociálna starostlivosť'!$I$5</f>
        <v>0</v>
      </c>
      <c r="W153" s="75" t="e">
        <f>'[4]13.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'[4]13. Sociálna starostlivosť'!#REF!</f>
        <v>#REF!</v>
      </c>
      <c r="G154" s="74" t="e">
        <f>'[4]13.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'[4]13. Sociálna starostlivosť'!#REF!</f>
        <v>#REF!</v>
      </c>
      <c r="O154" s="75" t="e">
        <f>'[4]13.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'[4]13. Sociálna starostlivosť'!$H$7</f>
        <v>0</v>
      </c>
      <c r="V154" s="73" t="e">
        <f>'[4]13. Sociálna starostlivosť'!$I$7</f>
        <v>#REF!</v>
      </c>
      <c r="W154" s="75" t="e">
        <f>'[4]13.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'[4]13. Sociálna starostlivosť'!#REF!</f>
        <v>#REF!</v>
      </c>
      <c r="G155" s="74" t="e">
        <f>'[4]13.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'[4]13. Sociálna starostlivosť'!#REF!</f>
        <v>#REF!</v>
      </c>
      <c r="N155" s="73" t="e">
        <f>'[4]13. Sociálna starostlivosť'!#REF!</f>
        <v>#REF!</v>
      </c>
      <c r="O155" s="75" t="e">
        <f>'[4]13.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'[4]13. Sociálna starostlivosť'!$H$8</f>
        <v>2000</v>
      </c>
      <c r="V155" s="73">
        <f>'[4]13. Sociálna starostlivosť'!$I$8</f>
        <v>0</v>
      </c>
      <c r="W155" s="75">
        <f>'[4]13.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'[4]13. Sociálna starostlivosť'!#REF!</f>
        <v>#REF!</v>
      </c>
      <c r="G157" s="74" t="e">
        <f>'[4]13.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'[4]13. Sociálna starostlivosť'!#REF!</f>
        <v>#REF!</v>
      </c>
      <c r="O157" s="75" t="e">
        <f>'[4]13.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'[4]13. Sociálna starostlivosť'!$H$11</f>
        <v>155</v>
      </c>
      <c r="V157" s="73">
        <f>'[4]13. Sociálna starostlivosť'!$I$11</f>
        <v>0</v>
      </c>
      <c r="W157" s="75">
        <f>'[4]13.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'[4]13. Sociálna starostlivosť'!#REF!</f>
        <v>#REF!</v>
      </c>
      <c r="G158" s="74" t="e">
        <f>'[4]13.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'[4]13. Sociálna starostlivosť'!#REF!</f>
        <v>#REF!</v>
      </c>
      <c r="O158" s="75" t="e">
        <f>'[4]13.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'[4]13. Sociálna starostlivosť'!$H$17</f>
        <v>0</v>
      </c>
      <c r="V158" s="73" t="e">
        <f>'[4]13. Sociálna starostlivosť'!$I$17</f>
        <v>#REF!</v>
      </c>
      <c r="W158" s="75" t="e">
        <f>'[4]13.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'[4]13. Sociálna starostlivosť'!#REF!</f>
        <v>#REF!</v>
      </c>
      <c r="G159" s="74" t="e">
        <f>'[4]13.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'[4]13. Sociálna starostlivosť'!#REF!</f>
        <v>#REF!</v>
      </c>
      <c r="N159" s="73" t="e">
        <f>'[4]13. Sociálna starostlivosť'!#REF!</f>
        <v>#REF!</v>
      </c>
      <c r="O159" s="75" t="e">
        <f>'[4]13.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'[4]13. Sociálna starostlivosť'!$H$18</f>
        <v>7695</v>
      </c>
      <c r="V159" s="73">
        <f>'[4]13. Sociálna starostlivosť'!$I$18</f>
        <v>0</v>
      </c>
      <c r="W159" s="75">
        <f>'[4]13.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'[4]13. Sociálna starostlivosť'!#REF!</f>
        <v>#REF!</v>
      </c>
      <c r="G160" s="74" t="e">
        <f>'[4]13.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'[4]13. Sociálna starostlivosť'!#REF!</f>
        <v>#REF!</v>
      </c>
      <c r="O160" s="75" t="e">
        <f>'[4]13.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'[4]13. Sociálna starostlivosť'!$H$20</f>
        <v>0</v>
      </c>
      <c r="V160" s="73" t="e">
        <f>'[4]13. Sociálna starostlivosť'!$I$20</f>
        <v>#REF!</v>
      </c>
      <c r="W160" s="75" t="e">
        <f>'[4]13.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'[4]13. Sociálna starostlivosť'!#REF!</f>
        <v>#REF!</v>
      </c>
      <c r="G162" s="74" t="e">
        <f>'[4]13.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'[4]13. Sociálna starostlivosť'!#REF!</f>
        <v>#REF!</v>
      </c>
      <c r="O162" s="75" t="e">
        <f>'[4]13.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'[4]13. Sociálna starostlivosť'!$H$22</f>
        <v>0</v>
      </c>
      <c r="V162" s="73" t="e">
        <f>'[4]13. Sociálna starostlivosť'!$I$22</f>
        <v>#REF!</v>
      </c>
      <c r="W162" s="75" t="e">
        <f>'[4]13.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'[4]13. Sociálna starostlivosť'!#REF!</f>
        <v>#REF!</v>
      </c>
      <c r="G163" s="74" t="e">
        <f>'[4]13.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'[4]13. Sociálna starostlivosť'!#REF!</f>
        <v>#REF!</v>
      </c>
      <c r="O163" s="75" t="e">
        <f>'[4]13.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'[4]13. Sociálna starostlivosť'!$H$24</f>
        <v>0</v>
      </c>
      <c r="V163" s="73" t="e">
        <f>'[4]13. Sociálna starostlivosť'!$I$24</f>
        <v>#REF!</v>
      </c>
      <c r="W163" s="75" t="e">
        <f>'[4]13.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'[4]13.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'[4]13.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'[4]13. Sociálna starostlivosť'!$H$25</f>
        <v>0</v>
      </c>
      <c r="V164" s="73">
        <f>'[4]13. Sociálna starostlivosť'!$I$25</f>
        <v>2032610</v>
      </c>
      <c r="W164" s="75">
        <f>'[4]13.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'[4]13.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'[4]13. Sociálna starostlivosť'!#REF!</f>
        <v>#REF!</v>
      </c>
      <c r="O166" s="75" t="e">
        <f>'[4]13.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'[4]13. Sociálna starostlivosť'!$H$38</f>
        <v>0</v>
      </c>
      <c r="V166" s="73">
        <f>'[4]13. Sociálna starostlivosť'!$I$38</f>
        <v>0</v>
      </c>
      <c r="W166" s="75">
        <f>'[4]13.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'[4]13. Sociálna starostlivosť'!#REF!</f>
        <v>#REF!</v>
      </c>
      <c r="G167" s="74" t="e">
        <f>'[4]13.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'[4]13. Sociálna starostlivosť'!#REF!</f>
        <v>#REF!</v>
      </c>
      <c r="N167" s="73" t="e">
        <f>'[4]13. Sociálna starostlivosť'!#REF!</f>
        <v>#REF!</v>
      </c>
      <c r="O167" s="75" t="e">
        <f>'[4]13.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'[4]13. Sociálna starostlivosť'!$H$41</f>
        <v>0</v>
      </c>
      <c r="V167" s="73">
        <f>'[4]13. Sociálna starostlivosť'!$I$41</f>
        <v>0</v>
      </c>
      <c r="W167" s="75">
        <f>'[4]13.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'[4]13. Sociálna starostlivosť'!#REF!</f>
        <v>#REF!</v>
      </c>
      <c r="G168" s="74" t="e">
        <f>'[4]13.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'[4]13. Sociálna starostlivosť'!#REF!</f>
        <v>#REF!</v>
      </c>
      <c r="O168" s="75" t="e">
        <f>'[4]13.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'[4]13. Sociálna starostlivosť'!$H$43</f>
        <v>0</v>
      </c>
      <c r="V168" s="73" t="e">
        <f>'[4]13. Sociálna starostlivosť'!$I$43</f>
        <v>#REF!</v>
      </c>
      <c r="W168" s="75" t="e">
        <f>'[4]13.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'[4]13. Sociálna starostlivosť'!#REF!</f>
        <v>#REF!</v>
      </c>
      <c r="G169" s="173" t="e">
        <f>'[4]13.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'[4]13. Sociálna starostlivosť'!#REF!</f>
        <v>#REF!</v>
      </c>
      <c r="O169" s="174" t="e">
        <f>'[4]13.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'[4]13. Sociálna starostlivosť'!$H$44</f>
        <v>0</v>
      </c>
      <c r="V169" s="172" t="e">
        <f>'[4]13. Sociálna starostlivosť'!$I$44</f>
        <v>#REF!</v>
      </c>
      <c r="W169" s="174" t="e">
        <f>'[4]13.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'[4]13. Sociálna starostlivosť'!#REF!</f>
        <v>#REF!</v>
      </c>
      <c r="G170" s="173" t="e">
        <f>'[4]13.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'[4]13. Sociálna starostlivosť'!#REF!</f>
        <v>#REF!</v>
      </c>
      <c r="N170" s="172" t="e">
        <f>'[4]13. Sociálna starostlivosť'!#REF!</f>
        <v>#REF!</v>
      </c>
      <c r="O170" s="174" t="e">
        <f>'[4]13.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'[4]13. Sociálna starostlivosť'!$H$45</f>
        <v>16468</v>
      </c>
      <c r="V170" s="172">
        <f>'[4]13. Sociálna starostlivosť'!$I$45</f>
        <v>0</v>
      </c>
      <c r="W170" s="174">
        <f>'[4]13.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'[4]13. Sociálna starostlivosť'!#REF!</f>
        <v>#REF!</v>
      </c>
      <c r="G172" s="74" t="e">
        <f>'[4]13.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'[4]13. Sociálna starostlivosť'!#REF!</f>
        <v>#REF!</v>
      </c>
      <c r="N172" s="73" t="e">
        <f>'[4]13. Sociálna starostlivosť'!#REF!</f>
        <v>#REF!</v>
      </c>
      <c r="O172" s="75" t="e">
        <f>'[4]13.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'[4]13. Sociálna starostlivosť'!$H$54</f>
        <v>150</v>
      </c>
      <c r="V172" s="73" t="e">
        <f>'[4]13. Sociálna starostlivosť'!$I$54</f>
        <v>#REF!</v>
      </c>
      <c r="W172" s="75" t="e">
        <f>'[4]13.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'[4]13. Sociálna starostlivosť'!#REF!</f>
        <v>#REF!</v>
      </c>
      <c r="G173" s="180" t="e">
        <f>'[4]13. Sociálna starostlivosť'!#REF!</f>
        <v>#REF!</v>
      </c>
      <c r="H173" s="178" t="e">
        <f>SUM(I173:K173)</f>
        <v>#REF!</v>
      </c>
      <c r="I173" s="179" t="e">
        <f>'[4]13.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'[4]13. Sociálna starostlivosť'!#REF!</f>
        <v>#REF!</v>
      </c>
      <c r="N173" s="179" t="e">
        <f>'[4]13. Sociálna starostlivosť'!#REF!</f>
        <v>#REF!</v>
      </c>
      <c r="O173" s="188" t="e">
        <f>'[4]13.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'[4]13. Sociálna starostlivosť'!$H$75</f>
        <v>1300</v>
      </c>
      <c r="V173" s="179" t="e">
        <f>'[4]13. Sociálna starostlivosť'!$I$75</f>
        <v>#REF!</v>
      </c>
      <c r="W173" s="188" t="e">
        <f>'[4]13.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'[4]14.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'[4]14. Bývanie'!#REF!</f>
        <v>#REF!</v>
      </c>
      <c r="N174" s="164" t="e">
        <f>'[4]14. Bývanie'!#REF!</f>
        <v>#REF!</v>
      </c>
      <c r="O174" s="164" t="e">
        <f>'[4]14.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'[4]14. Bývanie'!$H$18</f>
        <v>329843</v>
      </c>
      <c r="V174" s="164">
        <f>'[4]14. Bývanie'!$I$18</f>
        <v>0</v>
      </c>
      <c r="W174" s="164">
        <f>'[4]14.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'[4]15.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'[4]15. Administratíva'!#REF!</f>
        <v>#REF!</v>
      </c>
      <c r="L176" s="76" t="e">
        <f>SUM(M176:O176)</f>
        <v>#REF!</v>
      </c>
      <c r="M176" s="73" t="e">
        <f>'[4]15. Administratíva'!#REF!</f>
        <v>#REF!</v>
      </c>
      <c r="N176" s="73" t="e">
        <f>'[4]15. Administratíva'!#REF!</f>
        <v>#REF!</v>
      </c>
      <c r="O176" s="75" t="e">
        <f>'[4]15.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'[4]15. Administratíva'!$H$89</f>
        <v>1343</v>
      </c>
      <c r="V176" s="73" t="e">
        <f>'[4]15. Administratíva'!$I$89</f>
        <v>#REF!</v>
      </c>
      <c r="W176" s="75" t="e">
        <f>'[4]15.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'[4]15. Administratíva'!#REF!</f>
        <v>#REF!</v>
      </c>
      <c r="F177" s="73" t="e">
        <f>'[4]15.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'[4]15. Administratíva'!#REF!</f>
        <v>#REF!</v>
      </c>
      <c r="N177" s="73" t="e">
        <f>'[4]15. Administratíva'!#REF!</f>
        <v>#REF!</v>
      </c>
      <c r="O177" s="75" t="e">
        <f>'[4]15.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'[4]15. Administratíva'!$H$91</f>
        <v>#REF!</v>
      </c>
      <c r="V177" s="73" t="e">
        <f>'[4]15. Administratíva'!$I$91</f>
        <v>#REF!</v>
      </c>
      <c r="W177" s="75" t="e">
        <f>'[4]15.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'[4]15. Administratíva'!#REF!</f>
        <v>#REF!</v>
      </c>
      <c r="G178" s="81" t="e">
        <f>'[4]15.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'[4]15. Administratíva'!#REF!</f>
        <v>#REF!</v>
      </c>
      <c r="O178" s="90" t="e">
        <f>'[4]15.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'[5]15. Administratíva'!$Q$4</f>
        <v>1303806</v>
      </c>
      <c r="V178" s="80">
        <f>'[4]15. Administratíva'!$I$4</f>
        <v>0</v>
      </c>
      <c r="W178" s="90">
        <f>'[4]15.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66" t="s">
        <v>392</v>
      </c>
      <c r="B1" s="766"/>
      <c r="C1" s="766"/>
      <c r="D1" s="766"/>
      <c r="E1" s="766"/>
      <c r="F1" s="766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34.28515625" defaultRowHeight="12.75" x14ac:dyDescent="0.2"/>
  <cols>
    <col min="1" max="1" width="59.42578125" style="101" bestFit="1" customWidth="1"/>
    <col min="2" max="2" width="20.5703125" style="338" customWidth="1"/>
    <col min="3" max="5" width="22.140625" style="101" customWidth="1"/>
    <col min="6" max="6" width="15.5703125" style="574" customWidth="1"/>
    <col min="7" max="13" width="15.5703125" style="101" customWidth="1"/>
    <col min="14" max="246" width="9.140625" style="101" customWidth="1"/>
    <col min="247" max="16384" width="34.28515625" style="101"/>
  </cols>
  <sheetData>
    <row r="1" spans="1:5" ht="20.25" x14ac:dyDescent="0.3">
      <c r="A1" s="769" t="s">
        <v>652</v>
      </c>
      <c r="B1" s="769"/>
      <c r="C1" s="769"/>
      <c r="D1" s="769"/>
      <c r="E1" s="769"/>
    </row>
    <row r="2" spans="1:5" ht="13.5" thickBot="1" x14ac:dyDescent="0.25"/>
    <row r="3" spans="1:5" ht="57" customHeight="1" thickBot="1" x14ac:dyDescent="0.3">
      <c r="A3" s="326" t="s">
        <v>401</v>
      </c>
      <c r="B3" s="381" t="s">
        <v>618</v>
      </c>
      <c r="C3" s="381" t="s">
        <v>636</v>
      </c>
      <c r="D3" s="381" t="s">
        <v>654</v>
      </c>
      <c r="E3" s="381" t="s">
        <v>657</v>
      </c>
    </row>
    <row r="4" spans="1:5" ht="20.25" customHeight="1" x14ac:dyDescent="0.25">
      <c r="A4" s="325" t="s">
        <v>402</v>
      </c>
      <c r="B4" s="382">
        <f>'príjmy '!B3</f>
        <v>26143572.420000002</v>
      </c>
      <c r="C4" s="382">
        <f>'príjmy '!C3</f>
        <v>26547660.909999996</v>
      </c>
      <c r="D4" s="382">
        <f>'príjmy '!D3</f>
        <v>30090860</v>
      </c>
      <c r="E4" s="382">
        <f>'príjmy '!E3</f>
        <v>28470275.990000002</v>
      </c>
    </row>
    <row r="5" spans="1:5" ht="21.75" customHeight="1" x14ac:dyDescent="0.25">
      <c r="A5" s="105" t="s">
        <v>403</v>
      </c>
      <c r="B5" s="383">
        <f>'výdavky '!E6</f>
        <v>24581390.029999994</v>
      </c>
      <c r="C5" s="383">
        <f>'výdavky '!I6</f>
        <v>25714704.720000003</v>
      </c>
      <c r="D5" s="383">
        <f>'výdavky '!M6</f>
        <v>29972222</v>
      </c>
      <c r="E5" s="383">
        <f>'výdavky '!Q6</f>
        <v>27522208.229999997</v>
      </c>
    </row>
    <row r="6" spans="1:5" ht="21" customHeight="1" x14ac:dyDescent="0.25">
      <c r="A6" s="105" t="s">
        <v>379</v>
      </c>
      <c r="B6" s="383">
        <f t="shared" ref="B6" si="0">B4-B5</f>
        <v>1562182.390000008</v>
      </c>
      <c r="C6" s="383">
        <f t="shared" ref="C6:E6" si="1">C4-C5</f>
        <v>832956.18999999389</v>
      </c>
      <c r="D6" s="383">
        <f t="shared" si="1"/>
        <v>118638</v>
      </c>
      <c r="E6" s="383">
        <f t="shared" si="1"/>
        <v>948067.76000000536</v>
      </c>
    </row>
    <row r="7" spans="1:5" ht="18" x14ac:dyDescent="0.25">
      <c r="A7" s="105"/>
      <c r="B7" s="383"/>
      <c r="C7" s="383"/>
      <c r="D7" s="383"/>
      <c r="E7" s="383"/>
    </row>
    <row r="8" spans="1:5" ht="21.75" customHeight="1" x14ac:dyDescent="0.25">
      <c r="A8" s="105" t="s">
        <v>396</v>
      </c>
      <c r="B8" s="383">
        <f>'príjmy '!B107</f>
        <v>5741420.1499999994</v>
      </c>
      <c r="C8" s="383">
        <f>'príjmy '!C107</f>
        <v>2775376.4699999997</v>
      </c>
      <c r="D8" s="383">
        <f>'príjmy '!D107</f>
        <v>3685000</v>
      </c>
      <c r="E8" s="383">
        <f>'príjmy '!E107</f>
        <v>3046848.8699999996</v>
      </c>
    </row>
    <row r="9" spans="1:5" ht="21" customHeight="1" x14ac:dyDescent="0.25">
      <c r="A9" s="105" t="s">
        <v>397</v>
      </c>
      <c r="B9" s="383">
        <f>'výdavky '!F6</f>
        <v>8825125.5999999996</v>
      </c>
      <c r="C9" s="383">
        <f>'výdavky '!J6</f>
        <v>2085674.76</v>
      </c>
      <c r="D9" s="383">
        <f>'výdavky '!N6</f>
        <v>3842828</v>
      </c>
      <c r="E9" s="383">
        <f>'výdavky '!R6</f>
        <v>3462597.8699999996</v>
      </c>
    </row>
    <row r="10" spans="1:5" ht="21.75" customHeight="1" x14ac:dyDescent="0.25">
      <c r="A10" s="105" t="s">
        <v>379</v>
      </c>
      <c r="B10" s="383">
        <f t="shared" ref="B10" si="2">B8-B9</f>
        <v>-3083705.45</v>
      </c>
      <c r="C10" s="383">
        <f t="shared" ref="C10:E10" si="3">C8-C9</f>
        <v>689701.70999999973</v>
      </c>
      <c r="D10" s="383">
        <f t="shared" si="3"/>
        <v>-157828</v>
      </c>
      <c r="E10" s="383">
        <f t="shared" si="3"/>
        <v>-415749</v>
      </c>
    </row>
    <row r="11" spans="1:5" ht="18" x14ac:dyDescent="0.25">
      <c r="A11" s="105"/>
      <c r="B11" s="383"/>
      <c r="C11" s="383"/>
      <c r="D11" s="383"/>
      <c r="E11" s="383"/>
    </row>
    <row r="12" spans="1:5" ht="22.5" customHeight="1" x14ac:dyDescent="0.25">
      <c r="A12" s="105" t="s">
        <v>398</v>
      </c>
      <c r="B12" s="383">
        <f>'príjmy '!B133</f>
        <v>5969418.21</v>
      </c>
      <c r="C12" s="383">
        <f>'príjmy '!C133</f>
        <v>4487096.21</v>
      </c>
      <c r="D12" s="383">
        <f>'príjmy '!D133</f>
        <v>1322390</v>
      </c>
      <c r="E12" s="383">
        <f>'príjmy '!E133</f>
        <v>828241.21000000008</v>
      </c>
    </row>
    <row r="13" spans="1:5" ht="22.5" customHeight="1" x14ac:dyDescent="0.25">
      <c r="A13" s="105" t="s">
        <v>399</v>
      </c>
      <c r="B13" s="383">
        <f>'výdavky '!G6</f>
        <v>2900094.3600000003</v>
      </c>
      <c r="C13" s="383">
        <f>'výdavky '!K6</f>
        <v>5218310.91</v>
      </c>
      <c r="D13" s="383">
        <f>'výdavky '!O6</f>
        <v>1283200</v>
      </c>
      <c r="E13" s="383">
        <f>'výdavky '!S6</f>
        <v>786539.02</v>
      </c>
    </row>
    <row r="14" spans="1:5" ht="18.75" thickBot="1" x14ac:dyDescent="0.3">
      <c r="A14" s="108" t="s">
        <v>379</v>
      </c>
      <c r="B14" s="384">
        <f t="shared" ref="B14" si="4">B12-B13</f>
        <v>3069323.8499999996</v>
      </c>
      <c r="C14" s="384">
        <f t="shared" ref="C14:E14" si="5">C12-C13</f>
        <v>-731214.70000000019</v>
      </c>
      <c r="D14" s="384">
        <f t="shared" si="5"/>
        <v>39190</v>
      </c>
      <c r="E14" s="384">
        <f t="shared" si="5"/>
        <v>41702.190000000061</v>
      </c>
    </row>
    <row r="15" spans="1:5" ht="13.5" thickBot="1" x14ac:dyDescent="0.25">
      <c r="A15" s="111"/>
      <c r="C15" s="338"/>
      <c r="D15" s="338"/>
      <c r="E15" s="338"/>
    </row>
    <row r="16" spans="1:5" ht="22.5" customHeight="1" x14ac:dyDescent="0.3">
      <c r="A16" s="255" t="s">
        <v>130</v>
      </c>
      <c r="B16" s="385">
        <f t="shared" ref="B16:B17" si="6">B4+B8+B12</f>
        <v>37854410.780000001</v>
      </c>
      <c r="C16" s="385">
        <f t="shared" ref="C16:E16" si="7">C4+C8+C12</f>
        <v>33810133.589999996</v>
      </c>
      <c r="D16" s="385">
        <f t="shared" si="7"/>
        <v>35098250</v>
      </c>
      <c r="E16" s="385">
        <f t="shared" si="7"/>
        <v>32345366.070000004</v>
      </c>
    </row>
    <row r="17" spans="1:5" ht="27.75" customHeight="1" thickBot="1" x14ac:dyDescent="0.35">
      <c r="A17" s="323" t="s">
        <v>383</v>
      </c>
      <c r="B17" s="386">
        <f t="shared" si="6"/>
        <v>36306609.989999995</v>
      </c>
      <c r="C17" s="386">
        <f t="shared" ref="C17:E17" si="8">C5+C9+C13</f>
        <v>33018690.390000004</v>
      </c>
      <c r="D17" s="386">
        <f t="shared" si="8"/>
        <v>35098250</v>
      </c>
      <c r="E17" s="386">
        <f t="shared" si="8"/>
        <v>31771345.119999997</v>
      </c>
    </row>
    <row r="18" spans="1:5" ht="27" customHeight="1" thickBot="1" x14ac:dyDescent="0.35">
      <c r="A18" s="324" t="s">
        <v>384</v>
      </c>
      <c r="B18" s="387">
        <f t="shared" ref="B18" si="9">B16-B17</f>
        <v>1547800.7900000066</v>
      </c>
      <c r="C18" s="387">
        <f t="shared" ref="C18:D18" si="10">C16-C17</f>
        <v>791443.1999999918</v>
      </c>
      <c r="D18" s="387">
        <f t="shared" si="10"/>
        <v>0</v>
      </c>
      <c r="E18" s="387">
        <f>E16-E17</f>
        <v>574020.95000000671</v>
      </c>
    </row>
    <row r="19" spans="1:5" x14ac:dyDescent="0.2">
      <c r="C19" s="338"/>
      <c r="D19" s="338"/>
      <c r="E19" s="338"/>
    </row>
    <row r="20" spans="1:5" ht="13.5" thickBot="1" x14ac:dyDescent="0.25">
      <c r="C20" s="338"/>
      <c r="D20" s="338"/>
      <c r="E20" s="338"/>
    </row>
    <row r="21" spans="1:5" ht="20.25" x14ac:dyDescent="0.3">
      <c r="A21" s="320" t="s">
        <v>423</v>
      </c>
      <c r="B21" s="388">
        <f t="shared" ref="B21:B22" si="11">B4+B8</f>
        <v>31884992.57</v>
      </c>
      <c r="C21" s="388">
        <f t="shared" ref="C21:E21" si="12">C4+C8</f>
        <v>29323037.379999995</v>
      </c>
      <c r="D21" s="388">
        <f t="shared" si="12"/>
        <v>33775860</v>
      </c>
      <c r="E21" s="388">
        <f t="shared" si="12"/>
        <v>31517124.860000003</v>
      </c>
    </row>
    <row r="22" spans="1:5" ht="21" thickBot="1" x14ac:dyDescent="0.35">
      <c r="A22" s="321" t="s">
        <v>424</v>
      </c>
      <c r="B22" s="389">
        <f t="shared" si="11"/>
        <v>33406515.629999995</v>
      </c>
      <c r="C22" s="389">
        <f t="shared" ref="C22:E22" si="13">C5+C9</f>
        <v>27800379.480000004</v>
      </c>
      <c r="D22" s="389">
        <f t="shared" si="13"/>
        <v>33815050</v>
      </c>
      <c r="E22" s="389">
        <f t="shared" si="13"/>
        <v>30984806.099999998</v>
      </c>
    </row>
    <row r="23" spans="1:5" ht="21" thickBot="1" x14ac:dyDescent="0.35">
      <c r="A23" s="322" t="s">
        <v>410</v>
      </c>
      <c r="B23" s="390">
        <f t="shared" ref="B23" si="14">B21-B22</f>
        <v>-1521523.0599999949</v>
      </c>
      <c r="C23" s="390">
        <f t="shared" ref="C23:E23" si="15">C21-C22</f>
        <v>1522657.8999999911</v>
      </c>
      <c r="D23" s="390">
        <f t="shared" si="15"/>
        <v>-39190</v>
      </c>
      <c r="E23" s="390">
        <f t="shared" si="15"/>
        <v>532318.76000000536</v>
      </c>
    </row>
    <row r="24" spans="1:5" ht="18.75" thickBot="1" x14ac:dyDescent="0.3">
      <c r="A24" s="256"/>
      <c r="C24" s="338"/>
      <c r="D24" s="338"/>
      <c r="E24" s="338"/>
    </row>
    <row r="25" spans="1:5" ht="32.25" thickBot="1" x14ac:dyDescent="0.3">
      <c r="A25" s="411" t="s">
        <v>420</v>
      </c>
      <c r="B25" s="552" t="s">
        <v>618</v>
      </c>
      <c r="C25" s="552" t="s">
        <v>636</v>
      </c>
      <c r="D25" s="552" t="s">
        <v>654</v>
      </c>
      <c r="E25" s="552" t="s">
        <v>657</v>
      </c>
    </row>
    <row r="26" spans="1:5" ht="18" x14ac:dyDescent="0.25">
      <c r="A26" s="412" t="s">
        <v>5</v>
      </c>
      <c r="B26" s="553">
        <f>'príjmy '!B4</f>
        <v>12724485.52</v>
      </c>
      <c r="C26" s="553">
        <f>'príjmy '!C4</f>
        <v>12446823.950000001</v>
      </c>
      <c r="D26" s="553">
        <f>'príjmy '!D4</f>
        <v>11868588</v>
      </c>
      <c r="E26" s="553">
        <f>'príjmy '!E4</f>
        <v>11711263.68</v>
      </c>
    </row>
    <row r="27" spans="1:5" ht="18" x14ac:dyDescent="0.25">
      <c r="A27" s="413" t="s">
        <v>591</v>
      </c>
      <c r="B27" s="554">
        <f>'príjmy '!B19+'príjmy '!B32+'príjmy '!B55+'príjmy '!B108</f>
        <v>3273572.07</v>
      </c>
      <c r="C27" s="554">
        <f>'príjmy '!C19+'príjmy '!C32+'príjmy '!C55+'príjmy '!C108</f>
        <v>3767339.4</v>
      </c>
      <c r="D27" s="554">
        <f>'príjmy '!D19+'príjmy '!D32+'príjmy '!D55+'príjmy '!D108</f>
        <v>5227900</v>
      </c>
      <c r="E27" s="554">
        <f>'príjmy '!E19+'príjmy '!E32+'príjmy '!E55+'príjmy '!E108</f>
        <v>3938664.9399999995</v>
      </c>
    </row>
    <row r="28" spans="1:5" ht="18" x14ac:dyDescent="0.25">
      <c r="A28" s="413" t="s">
        <v>592</v>
      </c>
      <c r="B28" s="554">
        <f>'príjmy '!B65+'príjmy '!B112</f>
        <v>15886934.98</v>
      </c>
      <c r="C28" s="554">
        <f>'príjmy '!C65+'príjmy '!C112</f>
        <v>13108874.029999997</v>
      </c>
      <c r="D28" s="554">
        <f>'príjmy '!D65+'príjmy '!D112</f>
        <v>16679372</v>
      </c>
      <c r="E28" s="554">
        <f>'príjmy '!E65+'príjmy '!E112</f>
        <v>15867196.240000002</v>
      </c>
    </row>
    <row r="29" spans="1:5" ht="18" x14ac:dyDescent="0.25">
      <c r="A29" s="413" t="s">
        <v>593</v>
      </c>
      <c r="B29" s="554">
        <f>'príjmy '!B134+'príjmy '!B135+'príjmy '!B136+'príjmy '!B137+'príjmy '!B138</f>
        <v>775412.87999999989</v>
      </c>
      <c r="C29" s="554">
        <f>'príjmy '!C134+'príjmy '!C135+'príjmy '!C136+'príjmy '!C137+'príjmy '!C138</f>
        <v>1534413.2300000004</v>
      </c>
      <c r="D29" s="554">
        <f>'príjmy '!D134+'príjmy '!D135+'príjmy '!D136+'príjmy '!D137+'príjmy '!D138</f>
        <v>744390</v>
      </c>
      <c r="E29" s="554">
        <f>'príjmy '!E134+'príjmy '!E135+'príjmy '!E136+'príjmy '!E137+'príjmy '!E138</f>
        <v>751204.67</v>
      </c>
    </row>
    <row r="30" spans="1:5" ht="18" x14ac:dyDescent="0.25">
      <c r="A30" s="413" t="s">
        <v>594</v>
      </c>
      <c r="B30" s="554">
        <f>'príjmy '!B139+'príjmy '!B140+'príjmy '!B142</f>
        <v>5194005.33</v>
      </c>
      <c r="C30" s="554">
        <f>'príjmy '!C139+'príjmy '!C140+'príjmy '!C142</f>
        <v>2952682.98</v>
      </c>
      <c r="D30" s="554">
        <f>'príjmy '!D139+'príjmy '!D140+'príjmy '!D142+'príjmy '!D141</f>
        <v>578000</v>
      </c>
      <c r="E30" s="554">
        <f>'príjmy '!E139+'príjmy '!E140+'príjmy '!E142+'príjmy '!E141</f>
        <v>77036.539999999994</v>
      </c>
    </row>
    <row r="31" spans="1:5" ht="18" x14ac:dyDescent="0.25">
      <c r="A31" s="413" t="s">
        <v>595</v>
      </c>
      <c r="B31" s="554">
        <f>B5</f>
        <v>24581390.029999994</v>
      </c>
      <c r="C31" s="554">
        <f>C5</f>
        <v>25714704.720000003</v>
      </c>
      <c r="D31" s="554">
        <f>D5</f>
        <v>29972222</v>
      </c>
      <c r="E31" s="554">
        <f>E5</f>
        <v>27522208.229999997</v>
      </c>
    </row>
    <row r="32" spans="1:5" ht="18" x14ac:dyDescent="0.25">
      <c r="A32" s="413" t="s">
        <v>596</v>
      </c>
      <c r="B32" s="554">
        <f t="shared" ref="B32:E32" si="16">B9</f>
        <v>8825125.5999999996</v>
      </c>
      <c r="C32" s="554">
        <f t="shared" si="16"/>
        <v>2085674.76</v>
      </c>
      <c r="D32" s="554">
        <f t="shared" si="16"/>
        <v>3842828</v>
      </c>
      <c r="E32" s="554">
        <f t="shared" si="16"/>
        <v>3462597.8699999996</v>
      </c>
    </row>
    <row r="33" spans="1:17" ht="18.75" thickBot="1" x14ac:dyDescent="0.3">
      <c r="A33" s="414" t="s">
        <v>597</v>
      </c>
      <c r="B33" s="555">
        <f t="shared" ref="B33:E33" si="17">B13</f>
        <v>2900094.3600000003</v>
      </c>
      <c r="C33" s="555">
        <f t="shared" si="17"/>
        <v>5218310.91</v>
      </c>
      <c r="D33" s="555">
        <f t="shared" si="17"/>
        <v>1283200</v>
      </c>
      <c r="E33" s="555">
        <f t="shared" si="17"/>
        <v>786539.02</v>
      </c>
    </row>
    <row r="34" spans="1:17" ht="13.5" thickBot="1" x14ac:dyDescent="0.25">
      <c r="A34" s="767"/>
      <c r="C34" s="338"/>
      <c r="D34" s="338"/>
      <c r="E34" s="338"/>
    </row>
    <row r="35" spans="1:17" ht="36.75" thickBot="1" x14ac:dyDescent="0.3">
      <c r="A35" s="768"/>
      <c r="B35" s="427" t="s">
        <v>618</v>
      </c>
      <c r="C35" s="427" t="s">
        <v>636</v>
      </c>
      <c r="D35" s="552" t="s">
        <v>654</v>
      </c>
      <c r="E35" s="552" t="s">
        <v>657</v>
      </c>
    </row>
    <row r="36" spans="1:17" ht="18" x14ac:dyDescent="0.25">
      <c r="A36" s="415" t="s">
        <v>436</v>
      </c>
      <c r="B36" s="556">
        <f t="shared" ref="B36" si="18">B26+B27+B28+B29+B30</f>
        <v>37854410.780000001</v>
      </c>
      <c r="C36" s="556">
        <f t="shared" ref="C36:E36" si="19">C26+C27+C28+C29+C30</f>
        <v>33810133.589999996</v>
      </c>
      <c r="D36" s="556">
        <f t="shared" si="19"/>
        <v>35098250</v>
      </c>
      <c r="E36" s="556">
        <f t="shared" si="19"/>
        <v>32345366.07</v>
      </c>
    </row>
    <row r="37" spans="1:17" ht="18" x14ac:dyDescent="0.25">
      <c r="A37" s="416" t="s">
        <v>437</v>
      </c>
      <c r="B37" s="557">
        <f t="shared" ref="B37" si="20">B31+B32+B33</f>
        <v>36306609.989999995</v>
      </c>
      <c r="C37" s="557">
        <f t="shared" ref="C37:E37" si="21">C31+C32+C33</f>
        <v>33018690.390000004</v>
      </c>
      <c r="D37" s="557">
        <f t="shared" si="21"/>
        <v>35098250</v>
      </c>
      <c r="E37" s="557">
        <f t="shared" si="21"/>
        <v>31771345.119999997</v>
      </c>
    </row>
    <row r="38" spans="1:17" ht="18.75" thickBot="1" x14ac:dyDescent="0.3">
      <c r="A38" s="417" t="s">
        <v>379</v>
      </c>
      <c r="B38" s="558">
        <f t="shared" ref="B38" si="22">B36-B37</f>
        <v>1547800.7900000066</v>
      </c>
      <c r="C38" s="558">
        <f t="shared" ref="C38:E38" si="23">C36-C37</f>
        <v>791443.1999999918</v>
      </c>
      <c r="D38" s="558">
        <f t="shared" si="23"/>
        <v>0</v>
      </c>
      <c r="E38" s="558">
        <f t="shared" si="23"/>
        <v>574020.95000000298</v>
      </c>
      <c r="G38" s="335"/>
      <c r="H38" s="335"/>
      <c r="I38" s="335"/>
      <c r="J38" s="335"/>
      <c r="K38" s="335"/>
      <c r="L38" s="335"/>
      <c r="M38" s="335"/>
    </row>
    <row r="42" spans="1:17" x14ac:dyDescent="0.2">
      <c r="Q42" s="102"/>
    </row>
    <row r="49" ht="58.5" customHeight="1" x14ac:dyDescent="0.2"/>
  </sheetData>
  <sheetProtection selectLockedCells="1" selectUnlockedCells="1"/>
  <mergeCells count="2">
    <mergeCell ref="A34:A35"/>
    <mergeCell ref="A1:E1"/>
  </mergeCells>
  <phoneticPr fontId="0" type="noConversion"/>
  <pageMargins left="0" right="0" top="0" bottom="0" header="0.51181102362204722" footer="0.51181102362204722"/>
  <pageSetup paperSize="9" scale="44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zoomScaleNormal="100" workbookViewId="0">
      <selection activeCell="B29" sqref="B29"/>
    </sheetView>
  </sheetViews>
  <sheetFormatPr defaultRowHeight="15" x14ac:dyDescent="0.25"/>
  <cols>
    <col min="1" max="1" width="11.7109375" bestFit="1" customWidth="1"/>
    <col min="2" max="2" width="43.28515625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38" t="s">
        <v>653</v>
      </c>
      <c r="B1" s="738"/>
      <c r="C1" s="738"/>
      <c r="D1" s="738"/>
    </row>
    <row r="2" spans="1:4" s="568" customFormat="1" ht="34.5" customHeight="1" thickBot="1" x14ac:dyDescent="0.35">
      <c r="A2" s="564" t="s">
        <v>582</v>
      </c>
      <c r="B2" s="565" t="s">
        <v>381</v>
      </c>
      <c r="C2" s="566" t="s">
        <v>661</v>
      </c>
      <c r="D2" s="567" t="s">
        <v>662</v>
      </c>
    </row>
    <row r="3" spans="1:4" ht="15.75" x14ac:dyDescent="0.25">
      <c r="A3" s="428" t="s">
        <v>438</v>
      </c>
      <c r="B3" s="559" t="s">
        <v>442</v>
      </c>
      <c r="C3" s="560">
        <v>16050</v>
      </c>
      <c r="D3" s="572">
        <v>12333.96</v>
      </c>
    </row>
    <row r="4" spans="1:4" ht="15.75" x14ac:dyDescent="0.25">
      <c r="A4" s="735" t="s">
        <v>670</v>
      </c>
      <c r="B4" s="559" t="s">
        <v>684</v>
      </c>
      <c r="C4" s="560">
        <v>5120</v>
      </c>
      <c r="D4" s="572">
        <v>5116.8</v>
      </c>
    </row>
    <row r="5" spans="1:4" ht="15.75" x14ac:dyDescent="0.25">
      <c r="A5" s="739"/>
      <c r="B5" s="559" t="s">
        <v>671</v>
      </c>
      <c r="C5" s="560">
        <v>7730</v>
      </c>
      <c r="D5" s="572">
        <v>6384.8</v>
      </c>
    </row>
    <row r="6" spans="1:4" ht="15.75" x14ac:dyDescent="0.25">
      <c r="A6" s="735" t="s">
        <v>550</v>
      </c>
      <c r="B6" s="559" t="s">
        <v>663</v>
      </c>
      <c r="C6" s="560">
        <v>80000</v>
      </c>
      <c r="D6" s="572">
        <v>77036.539999999994</v>
      </c>
    </row>
    <row r="7" spans="1:4" ht="15.75" x14ac:dyDescent="0.25">
      <c r="A7" s="739"/>
      <c r="B7" s="561" t="s">
        <v>439</v>
      </c>
      <c r="C7" s="562">
        <v>115000</v>
      </c>
      <c r="D7" s="573">
        <v>115000</v>
      </c>
    </row>
    <row r="8" spans="1:4" ht="15.75" x14ac:dyDescent="0.25">
      <c r="A8" s="735" t="s">
        <v>745</v>
      </c>
      <c r="B8" s="561" t="s">
        <v>548</v>
      </c>
      <c r="C8" s="562">
        <v>227000</v>
      </c>
      <c r="D8" s="573">
        <v>226899.96</v>
      </c>
    </row>
    <row r="9" spans="1:4" ht="15.75" x14ac:dyDescent="0.25">
      <c r="A9" s="736"/>
      <c r="B9" s="561" t="s">
        <v>639</v>
      </c>
      <c r="C9" s="562">
        <v>1895985</v>
      </c>
      <c r="D9" s="573">
        <v>1666699.68</v>
      </c>
    </row>
    <row r="10" spans="1:4" ht="15.75" x14ac:dyDescent="0.25">
      <c r="A10" s="739"/>
      <c r="B10" s="561" t="s">
        <v>795</v>
      </c>
      <c r="C10" s="562">
        <v>12053.6</v>
      </c>
      <c r="D10" s="573">
        <v>11999.88</v>
      </c>
    </row>
    <row r="11" spans="1:4" ht="15.75" x14ac:dyDescent="0.25">
      <c r="A11" s="735" t="s">
        <v>667</v>
      </c>
      <c r="B11" s="561" t="s">
        <v>672</v>
      </c>
      <c r="C11" s="562">
        <v>2154</v>
      </c>
      <c r="D11" s="573">
        <v>2153.9</v>
      </c>
    </row>
    <row r="12" spans="1:4" ht="15.75" x14ac:dyDescent="0.25">
      <c r="A12" s="736"/>
      <c r="B12" s="563" t="s">
        <v>682</v>
      </c>
      <c r="C12" s="562">
        <f>2820+2587</f>
        <v>5407</v>
      </c>
      <c r="D12" s="573">
        <f>2819.61+2586.75</f>
        <v>5406.3600000000006</v>
      </c>
    </row>
    <row r="13" spans="1:4" ht="15.75" x14ac:dyDescent="0.25">
      <c r="A13" s="736"/>
      <c r="B13" s="563" t="s">
        <v>673</v>
      </c>
      <c r="C13" s="562">
        <v>4027</v>
      </c>
      <c r="D13" s="573">
        <v>4026.77</v>
      </c>
    </row>
    <row r="14" spans="1:4" ht="15.75" x14ac:dyDescent="0.25">
      <c r="A14" s="736"/>
      <c r="B14" s="563" t="s">
        <v>679</v>
      </c>
      <c r="C14" s="562">
        <v>322500</v>
      </c>
      <c r="D14" s="573">
        <v>322153.90999999997</v>
      </c>
    </row>
    <row r="15" spans="1:4" ht="15.75" x14ac:dyDescent="0.25">
      <c r="A15" s="736"/>
      <c r="B15" s="563" t="s">
        <v>680</v>
      </c>
      <c r="C15" s="562">
        <v>250800</v>
      </c>
      <c r="D15" s="573">
        <f>13253.53+156213.39+81250.61</f>
        <v>250717.53000000003</v>
      </c>
    </row>
    <row r="16" spans="1:4" ht="15.75" x14ac:dyDescent="0.25">
      <c r="A16" s="736"/>
      <c r="B16" s="563" t="s">
        <v>681</v>
      </c>
      <c r="C16" s="562">
        <v>105000</v>
      </c>
      <c r="D16" s="573">
        <v>105000</v>
      </c>
    </row>
    <row r="17" spans="1:7" ht="15.75" x14ac:dyDescent="0.25">
      <c r="A17" s="736"/>
      <c r="B17" s="563" t="s">
        <v>686</v>
      </c>
      <c r="C17" s="562">
        <v>6044</v>
      </c>
      <c r="D17" s="573">
        <v>6043.01</v>
      </c>
    </row>
    <row r="18" spans="1:7" ht="15.75" x14ac:dyDescent="0.25">
      <c r="A18" s="736"/>
      <c r="B18" s="563" t="s">
        <v>675</v>
      </c>
      <c r="C18" s="562">
        <f>266500+3269</f>
        <v>269769</v>
      </c>
      <c r="D18" s="573">
        <f>262710.49+3268.44</f>
        <v>265978.93</v>
      </c>
    </row>
    <row r="19" spans="1:7" ht="15.75" x14ac:dyDescent="0.25">
      <c r="A19" s="736"/>
      <c r="B19" s="563" t="s">
        <v>685</v>
      </c>
      <c r="C19" s="562">
        <v>3530</v>
      </c>
      <c r="D19" s="573">
        <v>3530</v>
      </c>
    </row>
    <row r="20" spans="1:7" ht="15.75" x14ac:dyDescent="0.25">
      <c r="A20" s="736"/>
      <c r="B20" s="563" t="s">
        <v>683</v>
      </c>
      <c r="C20" s="562">
        <v>4713</v>
      </c>
      <c r="D20" s="573">
        <v>4712.4399999999996</v>
      </c>
    </row>
    <row r="21" spans="1:7" ht="15.75" x14ac:dyDescent="0.25">
      <c r="A21" s="736"/>
      <c r="B21" s="561" t="s">
        <v>676</v>
      </c>
      <c r="C21" s="562"/>
      <c r="D21" s="573"/>
    </row>
    <row r="22" spans="1:7" ht="15.75" x14ac:dyDescent="0.25">
      <c r="A22" s="739"/>
      <c r="B22" s="563" t="s">
        <v>622</v>
      </c>
      <c r="C22" s="562">
        <v>20999</v>
      </c>
      <c r="D22" s="573"/>
    </row>
    <row r="23" spans="1:7" ht="15.75" x14ac:dyDescent="0.25">
      <c r="A23" s="735" t="s">
        <v>628</v>
      </c>
      <c r="B23" s="563" t="s">
        <v>665</v>
      </c>
      <c r="C23" s="562">
        <v>27896.400000000001</v>
      </c>
      <c r="D23" s="573"/>
    </row>
    <row r="24" spans="1:7" ht="15.75" x14ac:dyDescent="0.25">
      <c r="A24" s="736"/>
      <c r="B24" s="563" t="s">
        <v>576</v>
      </c>
      <c r="C24" s="562">
        <v>247000</v>
      </c>
      <c r="D24" s="573">
        <v>247000</v>
      </c>
    </row>
    <row r="25" spans="1:7" ht="15.75" x14ac:dyDescent="0.25">
      <c r="A25" s="739"/>
      <c r="B25" s="563" t="s">
        <v>664</v>
      </c>
      <c r="C25" s="562">
        <v>60000</v>
      </c>
      <c r="D25" s="573">
        <v>50000</v>
      </c>
    </row>
    <row r="26" spans="1:7" ht="15.75" x14ac:dyDescent="0.25">
      <c r="A26" s="428" t="s">
        <v>642</v>
      </c>
      <c r="B26" s="561" t="s">
        <v>643</v>
      </c>
      <c r="C26" s="562">
        <v>17600</v>
      </c>
      <c r="D26" s="573">
        <v>17600</v>
      </c>
    </row>
    <row r="27" spans="1:7" ht="15.75" x14ac:dyDescent="0.25">
      <c r="A27" s="428" t="s">
        <v>600</v>
      </c>
      <c r="B27" s="561" t="s">
        <v>528</v>
      </c>
      <c r="C27" s="562">
        <v>10000</v>
      </c>
      <c r="D27" s="573"/>
    </row>
    <row r="28" spans="1:7" ht="15.75" x14ac:dyDescent="0.25">
      <c r="A28" s="735" t="s">
        <v>641</v>
      </c>
      <c r="B28" s="626" t="s">
        <v>440</v>
      </c>
      <c r="C28" s="562">
        <v>10000</v>
      </c>
      <c r="D28" s="573"/>
    </row>
    <row r="29" spans="1:7" ht="15.75" x14ac:dyDescent="0.25">
      <c r="A29" s="736"/>
      <c r="B29" s="626" t="s">
        <v>796</v>
      </c>
      <c r="C29" s="562">
        <v>82500</v>
      </c>
      <c r="D29" s="573">
        <v>22853.4</v>
      </c>
    </row>
    <row r="30" spans="1:7" ht="16.5" thickBot="1" x14ac:dyDescent="0.3">
      <c r="A30" s="737"/>
      <c r="B30" s="624" t="s">
        <v>666</v>
      </c>
      <c r="C30" s="625">
        <v>33950</v>
      </c>
      <c r="D30" s="646">
        <v>33950</v>
      </c>
    </row>
    <row r="31" spans="1:7" s="339" customFormat="1" ht="19.5" thickBot="1" x14ac:dyDescent="0.35">
      <c r="A31" s="569"/>
      <c r="B31" s="570" t="s">
        <v>441</v>
      </c>
      <c r="C31" s="571">
        <f>SUM(C3:C30)</f>
        <v>3842828</v>
      </c>
      <c r="D31" s="647">
        <f>SUM(D3:D30)</f>
        <v>3462597.8699999996</v>
      </c>
      <c r="G31"/>
    </row>
    <row r="38" spans="3:3" s="336" customFormat="1" ht="15.75" x14ac:dyDescent="0.25">
      <c r="C38" s="429"/>
    </row>
  </sheetData>
  <mergeCells count="7">
    <mergeCell ref="A28:A30"/>
    <mergeCell ref="A1:D1"/>
    <mergeCell ref="A8:A10"/>
    <mergeCell ref="A6:A7"/>
    <mergeCell ref="A23:A25"/>
    <mergeCell ref="A11:A22"/>
    <mergeCell ref="A4:A5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zoomScale="93" zoomScaleNormal="93" workbookViewId="0">
      <selection sqref="A1:M1"/>
    </sheetView>
  </sheetViews>
  <sheetFormatPr defaultRowHeight="15" x14ac:dyDescent="0.25"/>
  <cols>
    <col min="1" max="1" width="9.140625" style="400" customWidth="1"/>
    <col min="2" max="2" width="19.42578125" style="400" customWidth="1"/>
    <col min="3" max="3" width="15.28515625" style="400" customWidth="1"/>
    <col min="4" max="4" width="15.5703125" style="400" customWidth="1"/>
    <col min="5" max="5" width="15.42578125" style="400" customWidth="1"/>
    <col min="6" max="6" width="15.28515625" style="400" customWidth="1"/>
    <col min="7" max="7" width="15.42578125" style="400" customWidth="1"/>
    <col min="8" max="8" width="15.5703125" style="400" customWidth="1"/>
    <col min="9" max="9" width="10" style="400" customWidth="1"/>
    <col min="10" max="10" width="14.42578125" style="400" customWidth="1"/>
    <col min="11" max="11" width="51" style="400" customWidth="1"/>
    <col min="12" max="12" width="19.28515625" style="400" customWidth="1"/>
    <col min="13" max="13" width="19" style="400" customWidth="1"/>
    <col min="14" max="14" width="16.85546875" style="400" bestFit="1" customWidth="1"/>
    <col min="15" max="16" width="14.140625" style="400" bestFit="1" customWidth="1"/>
    <col min="17" max="18" width="12.5703125" style="400" bestFit="1" customWidth="1"/>
    <col min="19" max="23" width="13.5703125" style="400" customWidth="1"/>
    <col min="24" max="24" width="9.140625" style="400"/>
  </cols>
  <sheetData>
    <row r="1" spans="1:24" ht="28.5" customHeight="1" thickBot="1" x14ac:dyDescent="0.45">
      <c r="A1" s="770" t="s">
        <v>780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/>
      <c r="O1"/>
      <c r="P1"/>
      <c r="Q1"/>
      <c r="R1"/>
      <c r="S1"/>
      <c r="T1"/>
      <c r="U1"/>
      <c r="V1"/>
      <c r="W1"/>
      <c r="X1"/>
    </row>
    <row r="2" spans="1:24" ht="15" customHeight="1" x14ac:dyDescent="0.25">
      <c r="A2" s="771" t="s">
        <v>702</v>
      </c>
      <c r="B2" s="774" t="s">
        <v>703</v>
      </c>
      <c r="C2" s="774" t="s">
        <v>704</v>
      </c>
      <c r="D2" s="774" t="s">
        <v>705</v>
      </c>
      <c r="E2" s="780" t="s">
        <v>706</v>
      </c>
      <c r="F2" s="794" t="s">
        <v>707</v>
      </c>
      <c r="G2" s="794" t="s">
        <v>708</v>
      </c>
      <c r="H2" s="794" t="s">
        <v>781</v>
      </c>
      <c r="I2" s="777" t="s">
        <v>709</v>
      </c>
      <c r="J2" s="777" t="s">
        <v>710</v>
      </c>
      <c r="K2" s="780" t="s">
        <v>711</v>
      </c>
      <c r="L2" s="783" t="s">
        <v>782</v>
      </c>
      <c r="M2" s="786" t="s">
        <v>783</v>
      </c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772"/>
      <c r="B3" s="775"/>
      <c r="C3" s="775"/>
      <c r="D3" s="775"/>
      <c r="E3" s="792"/>
      <c r="F3" s="795"/>
      <c r="G3" s="795"/>
      <c r="H3" s="795"/>
      <c r="I3" s="778"/>
      <c r="J3" s="778"/>
      <c r="K3" s="781"/>
      <c r="L3" s="784"/>
      <c r="M3" s="787"/>
      <c r="N3"/>
      <c r="O3"/>
      <c r="P3"/>
      <c r="Q3"/>
      <c r="R3"/>
      <c r="S3"/>
      <c r="T3"/>
      <c r="U3"/>
      <c r="V3"/>
      <c r="W3"/>
      <c r="X3"/>
    </row>
    <row r="4" spans="1:24" ht="15.75" thickBot="1" x14ac:dyDescent="0.3">
      <c r="A4" s="773"/>
      <c r="B4" s="776"/>
      <c r="C4" s="776"/>
      <c r="D4" s="776"/>
      <c r="E4" s="793"/>
      <c r="F4" s="796"/>
      <c r="G4" s="796"/>
      <c r="H4" s="796"/>
      <c r="I4" s="779"/>
      <c r="J4" s="779"/>
      <c r="K4" s="782"/>
      <c r="L4" s="785"/>
      <c r="M4" s="788"/>
      <c r="N4"/>
      <c r="O4"/>
      <c r="P4"/>
      <c r="Q4"/>
      <c r="R4"/>
      <c r="S4"/>
      <c r="T4"/>
      <c r="U4"/>
      <c r="V4"/>
      <c r="W4"/>
      <c r="X4"/>
    </row>
    <row r="5" spans="1:24" ht="33.75" x14ac:dyDescent="0.25">
      <c r="A5" s="648" t="s">
        <v>438</v>
      </c>
      <c r="B5" s="649" t="s">
        <v>712</v>
      </c>
      <c r="C5" s="649" t="s">
        <v>713</v>
      </c>
      <c r="D5" s="650">
        <v>37365</v>
      </c>
      <c r="E5" s="651" t="s">
        <v>714</v>
      </c>
      <c r="F5" s="652">
        <v>581834.62</v>
      </c>
      <c r="G5" s="652">
        <v>529451.47</v>
      </c>
      <c r="H5" s="653">
        <f>G5-M5</f>
        <v>474781.14999999997</v>
      </c>
      <c r="I5" s="654">
        <v>3.9E-2</v>
      </c>
      <c r="J5" s="655" t="s">
        <v>715</v>
      </c>
      <c r="K5" s="656" t="s">
        <v>716</v>
      </c>
      <c r="L5" s="657">
        <v>19896.84</v>
      </c>
      <c r="M5" s="658">
        <v>54670.32</v>
      </c>
      <c r="N5"/>
      <c r="O5"/>
      <c r="P5"/>
      <c r="Q5"/>
      <c r="R5"/>
      <c r="S5"/>
      <c r="T5"/>
      <c r="U5"/>
      <c r="V5"/>
      <c r="W5"/>
      <c r="X5"/>
    </row>
    <row r="6" spans="1:24" ht="33.75" x14ac:dyDescent="0.25">
      <c r="A6" s="659" t="s">
        <v>717</v>
      </c>
      <c r="B6" s="660" t="s">
        <v>718</v>
      </c>
      <c r="C6" s="660" t="s">
        <v>719</v>
      </c>
      <c r="D6" s="661">
        <v>37354</v>
      </c>
      <c r="E6" s="662" t="s">
        <v>714</v>
      </c>
      <c r="F6" s="653">
        <v>232451.81999999998</v>
      </c>
      <c r="G6" s="653">
        <v>211859.3</v>
      </c>
      <c r="H6" s="653">
        <f t="shared" ref="H6:H17" si="0">G6-M6</f>
        <v>190366.43</v>
      </c>
      <c r="I6" s="663">
        <v>3.9E-2</v>
      </c>
      <c r="J6" s="664" t="s">
        <v>720</v>
      </c>
      <c r="K6" s="665" t="s">
        <v>716</v>
      </c>
      <c r="L6" s="666">
        <v>7968.57</v>
      </c>
      <c r="M6" s="667">
        <v>21492.87</v>
      </c>
      <c r="N6"/>
      <c r="O6"/>
      <c r="P6"/>
      <c r="Q6"/>
      <c r="R6"/>
      <c r="S6"/>
      <c r="T6"/>
      <c r="U6"/>
      <c r="V6"/>
      <c r="W6"/>
      <c r="X6"/>
    </row>
    <row r="7" spans="1:24" ht="33.75" x14ac:dyDescent="0.25">
      <c r="A7" s="668" t="s">
        <v>721</v>
      </c>
      <c r="B7" s="669" t="s">
        <v>722</v>
      </c>
      <c r="C7" s="669" t="s">
        <v>723</v>
      </c>
      <c r="D7" s="670">
        <v>42740</v>
      </c>
      <c r="E7" s="671" t="s">
        <v>724</v>
      </c>
      <c r="F7" s="652">
        <v>1352355.99</v>
      </c>
      <c r="G7" s="652">
        <v>1320052.8</v>
      </c>
      <c r="H7" s="653">
        <f t="shared" si="0"/>
        <v>1287309.6400000001</v>
      </c>
      <c r="I7" s="654">
        <v>0.01</v>
      </c>
      <c r="J7" s="655" t="s">
        <v>725</v>
      </c>
      <c r="K7" s="672" t="s">
        <v>726</v>
      </c>
      <c r="L7" s="657">
        <v>13195.72</v>
      </c>
      <c r="M7" s="658">
        <v>32743.16</v>
      </c>
      <c r="N7"/>
      <c r="O7"/>
      <c r="P7"/>
      <c r="Q7"/>
      <c r="R7"/>
      <c r="S7"/>
      <c r="T7"/>
      <c r="U7"/>
      <c r="V7"/>
      <c r="W7"/>
      <c r="X7"/>
    </row>
    <row r="8" spans="1:24" ht="33.75" x14ac:dyDescent="0.25">
      <c r="A8" s="668" t="s">
        <v>727</v>
      </c>
      <c r="B8" s="669" t="s">
        <v>728</v>
      </c>
      <c r="C8" s="669" t="s">
        <v>729</v>
      </c>
      <c r="D8" s="670">
        <v>42908</v>
      </c>
      <c r="E8" s="671" t="s">
        <v>730</v>
      </c>
      <c r="F8" s="652">
        <v>4645006.22</v>
      </c>
      <c r="G8" s="652">
        <v>4537595.5699999994</v>
      </c>
      <c r="H8" s="653">
        <f t="shared" si="0"/>
        <v>4428709.55</v>
      </c>
      <c r="I8" s="654">
        <v>0.01</v>
      </c>
      <c r="J8" s="655" t="s">
        <v>731</v>
      </c>
      <c r="K8" s="672" t="s">
        <v>732</v>
      </c>
      <c r="L8" s="657">
        <v>45376.38</v>
      </c>
      <c r="M8" s="658">
        <v>108886.02</v>
      </c>
      <c r="N8"/>
      <c r="O8"/>
      <c r="P8"/>
      <c r="Q8"/>
      <c r="R8"/>
      <c r="S8"/>
      <c r="T8"/>
      <c r="U8"/>
      <c r="V8"/>
      <c r="W8"/>
      <c r="X8"/>
    </row>
    <row r="9" spans="1:24" ht="255" x14ac:dyDescent="0.25">
      <c r="A9" s="648" t="s">
        <v>550</v>
      </c>
      <c r="B9" s="649" t="s">
        <v>733</v>
      </c>
      <c r="C9" s="673" t="s">
        <v>734</v>
      </c>
      <c r="D9" s="650">
        <v>43816</v>
      </c>
      <c r="E9" s="674" t="s">
        <v>735</v>
      </c>
      <c r="F9" s="652">
        <v>4925621.3499999996</v>
      </c>
      <c r="G9" s="652">
        <v>4477837.3499999996</v>
      </c>
      <c r="H9" s="653">
        <f>G9-M9</f>
        <v>4030053.3499999996</v>
      </c>
      <c r="I9" s="675" t="s">
        <v>736</v>
      </c>
      <c r="J9" s="655" t="s">
        <v>737</v>
      </c>
      <c r="K9" s="676" t="s">
        <v>738</v>
      </c>
      <c r="L9" s="657">
        <v>115692.39</v>
      </c>
      <c r="M9" s="602">
        <v>447784</v>
      </c>
      <c r="N9"/>
      <c r="O9"/>
      <c r="P9"/>
      <c r="Q9"/>
      <c r="R9"/>
      <c r="S9"/>
      <c r="T9"/>
      <c r="U9"/>
      <c r="V9"/>
      <c r="W9"/>
      <c r="X9"/>
    </row>
    <row r="10" spans="1:24" ht="45" x14ac:dyDescent="0.25">
      <c r="A10" s="648" t="s">
        <v>739</v>
      </c>
      <c r="B10" s="649" t="s">
        <v>740</v>
      </c>
      <c r="C10" s="673">
        <v>500000</v>
      </c>
      <c r="D10" s="650">
        <v>44600</v>
      </c>
      <c r="E10" s="674" t="s">
        <v>741</v>
      </c>
      <c r="F10" s="652">
        <v>500000</v>
      </c>
      <c r="G10" s="652">
        <v>461540</v>
      </c>
      <c r="H10" s="653">
        <f t="shared" si="0"/>
        <v>423080</v>
      </c>
      <c r="I10" s="675" t="s">
        <v>742</v>
      </c>
      <c r="J10" s="655" t="s">
        <v>743</v>
      </c>
      <c r="K10" s="676" t="s">
        <v>744</v>
      </c>
      <c r="L10" s="657">
        <v>10907.91</v>
      </c>
      <c r="M10" s="602">
        <v>38460</v>
      </c>
      <c r="N10"/>
      <c r="O10"/>
      <c r="P10"/>
      <c r="Q10"/>
      <c r="R10"/>
      <c r="S10"/>
      <c r="T10"/>
      <c r="U10"/>
      <c r="V10"/>
      <c r="W10"/>
      <c r="X10"/>
    </row>
    <row r="11" spans="1:24" ht="45" x14ac:dyDescent="0.25">
      <c r="A11" s="648" t="s">
        <v>745</v>
      </c>
      <c r="B11" s="649" t="s">
        <v>746</v>
      </c>
      <c r="C11" s="673" t="s">
        <v>747</v>
      </c>
      <c r="D11" s="650">
        <v>45008</v>
      </c>
      <c r="E11" s="674" t="s">
        <v>748</v>
      </c>
      <c r="F11" s="652">
        <v>1017459.32</v>
      </c>
      <c r="G11" s="652">
        <v>1330000</v>
      </c>
      <c r="H11" s="653">
        <f t="shared" si="0"/>
        <v>1256110</v>
      </c>
      <c r="I11" s="675" t="s">
        <v>749</v>
      </c>
      <c r="J11" s="655" t="s">
        <v>750</v>
      </c>
      <c r="K11" s="676" t="s">
        <v>751</v>
      </c>
      <c r="L11" s="657">
        <v>34157.61</v>
      </c>
      <c r="M11" s="602">
        <v>73890</v>
      </c>
      <c r="N11"/>
      <c r="O11"/>
      <c r="P11"/>
      <c r="Q11"/>
      <c r="R11"/>
      <c r="S11"/>
      <c r="T11"/>
      <c r="U11"/>
      <c r="V11"/>
      <c r="W11"/>
      <c r="X11"/>
    </row>
    <row r="12" spans="1:24" ht="30" x14ac:dyDescent="0.25">
      <c r="A12" s="648" t="s">
        <v>752</v>
      </c>
      <c r="B12" s="649" t="s">
        <v>753</v>
      </c>
      <c r="C12" s="673" t="s">
        <v>794</v>
      </c>
      <c r="D12" s="650">
        <v>43013</v>
      </c>
      <c r="E12" s="674" t="s">
        <v>754</v>
      </c>
      <c r="F12" s="652">
        <v>562420.09</v>
      </c>
      <c r="G12" s="652">
        <v>447420.08999999997</v>
      </c>
      <c r="H12" s="653">
        <f t="shared" si="0"/>
        <v>332420.08999999997</v>
      </c>
      <c r="I12" s="675" t="s">
        <v>755</v>
      </c>
      <c r="J12" s="655" t="s">
        <v>756</v>
      </c>
      <c r="K12" s="676" t="s">
        <v>757</v>
      </c>
      <c r="L12" s="657">
        <v>0</v>
      </c>
      <c r="M12" s="602">
        <v>115000</v>
      </c>
      <c r="N12"/>
      <c r="O12"/>
      <c r="P12"/>
      <c r="Q12"/>
      <c r="R12"/>
      <c r="S12"/>
      <c r="T12"/>
      <c r="U12"/>
      <c r="V12"/>
      <c r="W12"/>
      <c r="X12"/>
    </row>
    <row r="13" spans="1:24" ht="22.5" x14ac:dyDescent="0.25">
      <c r="A13" s="648" t="s">
        <v>667</v>
      </c>
      <c r="B13" s="649" t="s">
        <v>758</v>
      </c>
      <c r="C13" s="673" t="s">
        <v>759</v>
      </c>
      <c r="D13" s="650">
        <v>44544</v>
      </c>
      <c r="E13" s="674" t="s">
        <v>760</v>
      </c>
      <c r="F13" s="652">
        <v>1796291.75</v>
      </c>
      <c r="G13" s="652">
        <v>1569391.79</v>
      </c>
      <c r="H13" s="653">
        <f t="shared" si="0"/>
        <v>1342491.83</v>
      </c>
      <c r="I13" s="675" t="s">
        <v>755</v>
      </c>
      <c r="J13" s="655" t="s">
        <v>761</v>
      </c>
      <c r="K13" s="676" t="s">
        <v>762</v>
      </c>
      <c r="L13" s="657">
        <v>0</v>
      </c>
      <c r="M13" s="602">
        <v>226899.96</v>
      </c>
      <c r="N13"/>
      <c r="O13"/>
      <c r="P13"/>
      <c r="Q13"/>
      <c r="R13"/>
      <c r="S13"/>
      <c r="T13"/>
      <c r="U13"/>
      <c r="V13"/>
      <c r="W13"/>
      <c r="X13"/>
    </row>
    <row r="14" spans="1:24" ht="22.5" x14ac:dyDescent="0.25">
      <c r="A14" s="648" t="s">
        <v>763</v>
      </c>
      <c r="B14" s="649" t="s">
        <v>764</v>
      </c>
      <c r="C14" s="673" t="s">
        <v>765</v>
      </c>
      <c r="D14" s="650">
        <v>44704</v>
      </c>
      <c r="E14" s="674" t="s">
        <v>766</v>
      </c>
      <c r="F14" s="652">
        <v>987183.84</v>
      </c>
      <c r="G14" s="652">
        <v>493591.92</v>
      </c>
      <c r="H14" s="653">
        <f t="shared" si="0"/>
        <v>246591.91999999998</v>
      </c>
      <c r="I14" s="675" t="s">
        <v>755</v>
      </c>
      <c r="J14" s="655" t="s">
        <v>767</v>
      </c>
      <c r="K14" s="676" t="s">
        <v>768</v>
      </c>
      <c r="L14" s="657">
        <v>0</v>
      </c>
      <c r="M14" s="602">
        <v>247000</v>
      </c>
      <c r="N14"/>
      <c r="O14"/>
      <c r="P14"/>
      <c r="Q14"/>
      <c r="R14"/>
      <c r="S14"/>
      <c r="T14"/>
      <c r="U14"/>
      <c r="V14"/>
      <c r="W14"/>
      <c r="X14"/>
    </row>
    <row r="15" spans="1:24" ht="30" x14ac:dyDescent="0.25">
      <c r="A15" s="648" t="s">
        <v>628</v>
      </c>
      <c r="B15" s="649" t="s">
        <v>784</v>
      </c>
      <c r="C15" s="673" t="s">
        <v>786</v>
      </c>
      <c r="D15" s="650">
        <v>45939</v>
      </c>
      <c r="E15" s="687" t="s">
        <v>787</v>
      </c>
      <c r="F15" s="652">
        <v>0</v>
      </c>
      <c r="G15" s="652">
        <v>0</v>
      </c>
      <c r="H15" s="653">
        <v>77036.539999999994</v>
      </c>
      <c r="I15" s="688">
        <v>0.02</v>
      </c>
      <c r="J15" s="655" t="s">
        <v>788</v>
      </c>
      <c r="K15" s="676" t="s">
        <v>785</v>
      </c>
      <c r="L15" s="657">
        <v>0</v>
      </c>
      <c r="M15" s="602">
        <v>0</v>
      </c>
      <c r="N15"/>
      <c r="O15"/>
      <c r="P15"/>
      <c r="Q15"/>
      <c r="R15"/>
      <c r="S15"/>
      <c r="T15"/>
      <c r="U15"/>
      <c r="V15"/>
      <c r="W15"/>
      <c r="X15"/>
    </row>
    <row r="16" spans="1:24" ht="45" x14ac:dyDescent="0.25">
      <c r="A16" s="648" t="s">
        <v>642</v>
      </c>
      <c r="B16" s="649" t="s">
        <v>769</v>
      </c>
      <c r="C16" s="673" t="s">
        <v>770</v>
      </c>
      <c r="D16" s="650">
        <v>43816</v>
      </c>
      <c r="E16" s="674" t="s">
        <v>771</v>
      </c>
      <c r="F16" s="652">
        <v>0</v>
      </c>
      <c r="G16" s="652">
        <v>0</v>
      </c>
      <c r="H16" s="653">
        <f t="shared" si="0"/>
        <v>0</v>
      </c>
      <c r="I16" s="675" t="s">
        <v>772</v>
      </c>
      <c r="J16" s="655"/>
      <c r="K16" s="676"/>
      <c r="L16" s="657">
        <v>0</v>
      </c>
      <c r="M16" s="602">
        <v>0</v>
      </c>
      <c r="N16"/>
      <c r="O16"/>
      <c r="P16"/>
      <c r="Q16"/>
      <c r="R16"/>
      <c r="S16"/>
      <c r="T16"/>
      <c r="U16"/>
      <c r="V16"/>
      <c r="W16"/>
      <c r="X16"/>
    </row>
    <row r="17" spans="1:24" ht="45.75" thickBot="1" x14ac:dyDescent="0.3">
      <c r="A17" s="677" t="s">
        <v>600</v>
      </c>
      <c r="B17" s="649" t="s">
        <v>773</v>
      </c>
      <c r="C17" s="678" t="s">
        <v>774</v>
      </c>
      <c r="D17" s="679">
        <v>45275</v>
      </c>
      <c r="E17" s="680" t="s">
        <v>775</v>
      </c>
      <c r="F17" s="681">
        <v>1865001.63</v>
      </c>
      <c r="G17" s="681">
        <v>0</v>
      </c>
      <c r="H17" s="653">
        <f t="shared" si="0"/>
        <v>0</v>
      </c>
      <c r="I17" s="682" t="s">
        <v>776</v>
      </c>
      <c r="J17" s="683" t="s">
        <v>777</v>
      </c>
      <c r="K17" s="684" t="s">
        <v>778</v>
      </c>
      <c r="L17" s="471">
        <v>0</v>
      </c>
      <c r="M17" s="499">
        <v>0</v>
      </c>
      <c r="N17"/>
      <c r="O17"/>
      <c r="P17"/>
      <c r="Q17"/>
      <c r="R17"/>
      <c r="S17"/>
      <c r="T17"/>
      <c r="U17"/>
      <c r="V17"/>
      <c r="W17"/>
      <c r="X17"/>
    </row>
    <row r="18" spans="1:24" ht="15.75" thickBot="1" x14ac:dyDescent="0.3">
      <c r="A18" s="789" t="s">
        <v>615</v>
      </c>
      <c r="B18" s="790"/>
      <c r="C18" s="790"/>
      <c r="D18" s="790"/>
      <c r="E18" s="790"/>
      <c r="F18" s="685">
        <f>SUM(F5:F17)</f>
        <v>18465626.629999999</v>
      </c>
      <c r="G18" s="685">
        <v>15378740.289999997</v>
      </c>
      <c r="H18" s="685">
        <f>SUM(H5:H17)</f>
        <v>14088950.499999998</v>
      </c>
      <c r="I18" s="791"/>
      <c r="J18" s="791"/>
      <c r="K18" s="686"/>
      <c r="L18" s="643">
        <f>SUM(L5:L17)</f>
        <v>247195.41999999998</v>
      </c>
      <c r="M18" s="642">
        <f>SUM(M5:M17)</f>
        <v>1366826.33</v>
      </c>
      <c r="N18"/>
      <c r="O18"/>
      <c r="P18"/>
      <c r="Q18"/>
      <c r="R18"/>
      <c r="S18"/>
      <c r="T18"/>
      <c r="U18"/>
      <c r="V18"/>
      <c r="W18"/>
      <c r="X18"/>
    </row>
    <row r="19" spans="1:24" x14ac:dyDescent="0.25">
      <c r="A19" s="797" t="s">
        <v>789</v>
      </c>
      <c r="B19" s="798"/>
      <c r="C19" s="798"/>
      <c r="D19" s="798"/>
      <c r="E19" s="798"/>
      <c r="F19" s="798"/>
      <c r="G19" s="798"/>
      <c r="H19" s="798"/>
      <c r="I19" s="798"/>
      <c r="J19" s="798"/>
      <c r="K19" s="799"/>
      <c r="L19" s="800">
        <f>H9+H10+H11+H12+H13+H14</f>
        <v>7630747.1899999995</v>
      </c>
      <c r="M19" s="801"/>
      <c r="N19"/>
      <c r="O19"/>
      <c r="P19"/>
      <c r="Q19"/>
      <c r="R19"/>
      <c r="S19"/>
      <c r="T19"/>
      <c r="U19"/>
      <c r="V19"/>
      <c r="W19"/>
      <c r="X19"/>
    </row>
    <row r="20" spans="1:24" x14ac:dyDescent="0.25">
      <c r="A20" s="802" t="s">
        <v>790</v>
      </c>
      <c r="B20" s="803"/>
      <c r="C20" s="803"/>
      <c r="D20" s="803"/>
      <c r="E20" s="803"/>
      <c r="F20" s="803"/>
      <c r="G20" s="803"/>
      <c r="H20" s="803"/>
      <c r="I20" s="803"/>
      <c r="J20" s="803"/>
      <c r="K20" s="804"/>
      <c r="L20" s="800">
        <f>M18+L18</f>
        <v>1614021.75</v>
      </c>
      <c r="M20" s="801"/>
      <c r="N20"/>
      <c r="O20"/>
      <c r="P20"/>
      <c r="Q20"/>
      <c r="R20"/>
      <c r="S20"/>
      <c r="T20"/>
      <c r="U20"/>
      <c r="V20"/>
      <c r="W20"/>
      <c r="X20"/>
    </row>
    <row r="21" spans="1:24" ht="15" customHeight="1" x14ac:dyDescent="0.25">
      <c r="A21" s="805" t="s">
        <v>791</v>
      </c>
      <c r="B21" s="806"/>
      <c r="C21" s="806"/>
      <c r="D21" s="806"/>
      <c r="E21" s="806"/>
      <c r="F21" s="806"/>
      <c r="G21" s="806"/>
      <c r="H21" s="806"/>
      <c r="I21" s="806"/>
      <c r="J21" s="806"/>
      <c r="K21" s="807"/>
      <c r="L21" s="800">
        <v>26547660.91</v>
      </c>
      <c r="M21" s="801"/>
      <c r="N21"/>
      <c r="O21"/>
      <c r="P21"/>
      <c r="Q21"/>
      <c r="R21"/>
      <c r="S21"/>
      <c r="T21"/>
      <c r="U21"/>
      <c r="V21"/>
      <c r="W21"/>
      <c r="X21"/>
    </row>
    <row r="22" spans="1:24" ht="15" customHeight="1" x14ac:dyDescent="0.25">
      <c r="A22" s="805" t="s">
        <v>779</v>
      </c>
      <c r="B22" s="806"/>
      <c r="C22" s="806"/>
      <c r="D22" s="806"/>
      <c r="E22" s="806"/>
      <c r="F22" s="806"/>
      <c r="G22" s="806"/>
      <c r="H22" s="806"/>
      <c r="I22" s="806"/>
      <c r="J22" s="806"/>
      <c r="K22" s="807"/>
      <c r="L22" s="800">
        <f>'príjmy '!C3-'príjmy '!C65-'príjmy '!C15-'príjmy '!C16-'príjmy '!C17-'príjmy '!C22-'príjmy '!C25-'príjmy '!C49-'príjmy '!C50-'príjmy '!C51-'príjmy '!C52-'príjmy '!C53-'príjmy '!C63+L5+L6+L7+L8+M5+M6+M7+M8-153834.34</f>
        <v>12833388.919999998</v>
      </c>
      <c r="M22" s="801"/>
      <c r="N22"/>
      <c r="O22"/>
      <c r="P22"/>
      <c r="Q22"/>
      <c r="R22"/>
      <c r="S22"/>
      <c r="T22"/>
      <c r="U22"/>
      <c r="V22"/>
      <c r="W22"/>
      <c r="X22"/>
    </row>
    <row r="23" spans="1:24" ht="18.75" customHeight="1" x14ac:dyDescent="0.3">
      <c r="A23" s="813" t="s">
        <v>793</v>
      </c>
      <c r="B23" s="814"/>
      <c r="C23" s="814"/>
      <c r="D23" s="814"/>
      <c r="E23" s="814"/>
      <c r="F23" s="814"/>
      <c r="G23" s="814"/>
      <c r="H23" s="814"/>
      <c r="I23" s="814"/>
      <c r="J23" s="814"/>
      <c r="K23" s="815"/>
      <c r="L23" s="811">
        <f>L19/L21</f>
        <v>0.2874357637710237</v>
      </c>
      <c r="M23" s="812"/>
      <c r="N23"/>
      <c r="O23"/>
      <c r="P23"/>
      <c r="Q23"/>
      <c r="R23"/>
      <c r="S23"/>
      <c r="T23"/>
      <c r="U23"/>
      <c r="V23"/>
      <c r="W23"/>
      <c r="X23"/>
    </row>
    <row r="24" spans="1:24" ht="18.75" x14ac:dyDescent="0.3">
      <c r="A24" s="808" t="s">
        <v>792</v>
      </c>
      <c r="B24" s="809"/>
      <c r="C24" s="809"/>
      <c r="D24" s="809"/>
      <c r="E24" s="809"/>
      <c r="F24" s="809"/>
      <c r="G24" s="809"/>
      <c r="H24" s="809"/>
      <c r="I24" s="809"/>
      <c r="J24" s="809"/>
      <c r="K24" s="810"/>
      <c r="L24" s="811">
        <f>L20/L22</f>
        <v>0.12576738381898897</v>
      </c>
      <c r="M24" s="812"/>
      <c r="N24"/>
      <c r="O24"/>
      <c r="P24"/>
      <c r="Q24"/>
      <c r="R24"/>
      <c r="S24"/>
      <c r="T24"/>
      <c r="U24"/>
      <c r="V24"/>
      <c r="W24"/>
      <c r="X24"/>
    </row>
    <row r="25" spans="1:2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400" customFormat="1" x14ac:dyDescent="0.25"/>
    <row r="40" spans="1:24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336" customFormat="1" ht="32.25" customHeight="1" x14ac:dyDescent="0.25">
      <c r="A44" s="401"/>
    </row>
    <row r="45" spans="1:24" s="336" customFormat="1" ht="15.75" x14ac:dyDescent="0.25">
      <c r="A45" s="401"/>
    </row>
    <row r="46" spans="1:24" s="399" customFormat="1" ht="33.75" customHeight="1" x14ac:dyDescent="0.3">
      <c r="A46" s="402"/>
    </row>
    <row r="47" spans="1:24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2:24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2:24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2:24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</sheetData>
  <mergeCells count="28">
    <mergeCell ref="A24:K24"/>
    <mergeCell ref="L24:M24"/>
    <mergeCell ref="A22:K22"/>
    <mergeCell ref="L22:M22"/>
    <mergeCell ref="A23:K23"/>
    <mergeCell ref="L23:M23"/>
    <mergeCell ref="A19:K19"/>
    <mergeCell ref="L19:M19"/>
    <mergeCell ref="A20:K20"/>
    <mergeCell ref="L20:M20"/>
    <mergeCell ref="A21:K21"/>
    <mergeCell ref="L21:M21"/>
    <mergeCell ref="A18:E18"/>
    <mergeCell ref="I18:J18"/>
    <mergeCell ref="E2:E4"/>
    <mergeCell ref="F2:F4"/>
    <mergeCell ref="G2:G4"/>
    <mergeCell ref="H2:H4"/>
    <mergeCell ref="I2:I4"/>
    <mergeCell ref="A1:M1"/>
    <mergeCell ref="A2:A4"/>
    <mergeCell ref="B2:B4"/>
    <mergeCell ref="C2:C4"/>
    <mergeCell ref="D2:D4"/>
    <mergeCell ref="J2:J4"/>
    <mergeCell ref="K2:K4"/>
    <mergeCell ref="L2:L4"/>
    <mergeCell ref="M2:M4"/>
  </mergeCells>
  <pageMargins left="0.7" right="0.7" top="0.75" bottom="0.75" header="0.3" footer="0.3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319B-C606-4851-B0E7-9BB684163AA3}">
  <dimension ref="A1:Z66"/>
  <sheetViews>
    <sheetView workbookViewId="0">
      <selection sqref="A1:V1"/>
    </sheetView>
  </sheetViews>
  <sheetFormatPr defaultRowHeight="15" x14ac:dyDescent="0.25"/>
  <cols>
    <col min="1" max="1" width="9.140625" style="400"/>
    <col min="2" max="2" width="23.42578125" style="400" bestFit="1" customWidth="1"/>
    <col min="3" max="3" width="12.28515625" style="436" bestFit="1" customWidth="1"/>
    <col min="4" max="4" width="13.140625" style="436" bestFit="1" customWidth="1"/>
    <col min="5" max="5" width="11.28515625" style="436" bestFit="1" customWidth="1"/>
    <col min="6" max="6" width="13.140625" style="436" bestFit="1" customWidth="1"/>
    <col min="7" max="7" width="14.140625" style="436" bestFit="1" customWidth="1"/>
    <col min="8" max="8" width="12.7109375" style="436" customWidth="1"/>
    <col min="9" max="9" width="11.28515625" style="436" bestFit="1" customWidth="1"/>
    <col min="10" max="10" width="14.28515625" style="436" bestFit="1" customWidth="1"/>
    <col min="11" max="11" width="15.7109375" style="436" customWidth="1"/>
    <col min="12" max="12" width="13.140625" style="436" bestFit="1" customWidth="1"/>
    <col min="13" max="13" width="17" style="436" bestFit="1" customWidth="1"/>
    <col min="14" max="14" width="14.28515625" style="436" bestFit="1" customWidth="1"/>
    <col min="15" max="15" width="17.7109375" style="436" bestFit="1" customWidth="1"/>
    <col min="16" max="17" width="16.140625" style="436" bestFit="1" customWidth="1"/>
    <col min="18" max="20" width="13.5703125" style="436" customWidth="1"/>
    <col min="21" max="21" width="16.140625" style="424" customWidth="1"/>
    <col min="22" max="22" width="16.140625" style="424" bestFit="1" customWidth="1"/>
    <col min="23" max="23" width="9.140625" style="424"/>
  </cols>
  <sheetData>
    <row r="1" spans="1:23" s="400" customFormat="1" ht="16.5" customHeight="1" thickBot="1" x14ac:dyDescent="0.3">
      <c r="A1" s="865" t="s">
        <v>614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424"/>
    </row>
    <row r="2" spans="1:23" s="400" customFormat="1" ht="15" customHeight="1" thickBot="1" x14ac:dyDescent="0.3">
      <c r="A2" s="867" t="s">
        <v>461</v>
      </c>
      <c r="B2" s="870" t="s">
        <v>462</v>
      </c>
      <c r="C2" s="873" t="s">
        <v>378</v>
      </c>
      <c r="D2" s="874"/>
      <c r="E2" s="874"/>
      <c r="F2" s="874"/>
      <c r="G2" s="874"/>
      <c r="H2" s="874"/>
      <c r="I2" s="874"/>
      <c r="J2" s="874"/>
      <c r="K2" s="875"/>
      <c r="L2" s="906" t="s">
        <v>463</v>
      </c>
      <c r="M2" s="876" t="s">
        <v>464</v>
      </c>
      <c r="N2" s="879" t="s">
        <v>612</v>
      </c>
      <c r="O2" s="880"/>
      <c r="P2" s="880"/>
      <c r="Q2" s="881"/>
      <c r="R2" s="885" t="s">
        <v>613</v>
      </c>
      <c r="S2" s="886"/>
      <c r="T2" s="886"/>
      <c r="U2" s="886"/>
      <c r="V2" s="887"/>
      <c r="W2" s="424"/>
    </row>
    <row r="3" spans="1:23" s="400" customFormat="1" ht="24.75" customHeight="1" x14ac:dyDescent="0.25">
      <c r="A3" s="868"/>
      <c r="B3" s="871"/>
      <c r="C3" s="894" t="s">
        <v>465</v>
      </c>
      <c r="D3" s="895"/>
      <c r="E3" s="896"/>
      <c r="F3" s="897" t="s">
        <v>466</v>
      </c>
      <c r="G3" s="898"/>
      <c r="H3" s="899"/>
      <c r="I3" s="841" t="s">
        <v>533</v>
      </c>
      <c r="J3" s="844" t="s">
        <v>467</v>
      </c>
      <c r="K3" s="586" t="s">
        <v>468</v>
      </c>
      <c r="L3" s="907"/>
      <c r="M3" s="877"/>
      <c r="N3" s="882"/>
      <c r="O3" s="883"/>
      <c r="P3" s="883"/>
      <c r="Q3" s="884"/>
      <c r="R3" s="888"/>
      <c r="S3" s="889"/>
      <c r="T3" s="889"/>
      <c r="U3" s="889"/>
      <c r="V3" s="890"/>
      <c r="W3" s="424"/>
    </row>
    <row r="4" spans="1:23" s="400" customFormat="1" ht="15.75" thickBot="1" x14ac:dyDescent="0.3">
      <c r="A4" s="868"/>
      <c r="B4" s="871"/>
      <c r="C4" s="847" t="s">
        <v>615</v>
      </c>
      <c r="D4" s="850" t="s">
        <v>469</v>
      </c>
      <c r="E4" s="851"/>
      <c r="F4" s="842" t="s">
        <v>470</v>
      </c>
      <c r="G4" s="852" t="s">
        <v>471</v>
      </c>
      <c r="H4" s="854" t="s">
        <v>532</v>
      </c>
      <c r="I4" s="842"/>
      <c r="J4" s="845"/>
      <c r="K4" s="858" t="s">
        <v>472</v>
      </c>
      <c r="L4" s="907"/>
      <c r="M4" s="877"/>
      <c r="N4" s="882"/>
      <c r="O4" s="883"/>
      <c r="P4" s="883"/>
      <c r="Q4" s="884"/>
      <c r="R4" s="891"/>
      <c r="S4" s="892"/>
      <c r="T4" s="892"/>
      <c r="U4" s="892"/>
      <c r="V4" s="893"/>
      <c r="W4" s="424"/>
    </row>
    <row r="5" spans="1:23" s="400" customFormat="1" ht="43.5" customHeight="1" x14ac:dyDescent="0.25">
      <c r="A5" s="868"/>
      <c r="B5" s="871"/>
      <c r="C5" s="848"/>
      <c r="D5" s="861" t="s">
        <v>473</v>
      </c>
      <c r="E5" s="863" t="s">
        <v>474</v>
      </c>
      <c r="F5" s="842"/>
      <c r="G5" s="852"/>
      <c r="H5" s="855"/>
      <c r="I5" s="842"/>
      <c r="J5" s="845"/>
      <c r="K5" s="859"/>
      <c r="L5" s="907"/>
      <c r="M5" s="877"/>
      <c r="N5" s="443" t="s">
        <v>135</v>
      </c>
      <c r="O5" s="900" t="s">
        <v>637</v>
      </c>
      <c r="P5" s="901"/>
      <c r="Q5" s="902"/>
      <c r="R5" s="444" t="s">
        <v>570</v>
      </c>
      <c r="S5" s="445" t="s">
        <v>571</v>
      </c>
      <c r="T5" s="446" t="s">
        <v>540</v>
      </c>
      <c r="U5" s="525" t="s">
        <v>633</v>
      </c>
      <c r="V5" s="524" t="s">
        <v>541</v>
      </c>
      <c r="W5" s="424"/>
    </row>
    <row r="6" spans="1:23" s="400" customFormat="1" ht="15" customHeight="1" thickBot="1" x14ac:dyDescent="0.3">
      <c r="A6" s="869"/>
      <c r="B6" s="872"/>
      <c r="C6" s="849"/>
      <c r="D6" s="862"/>
      <c r="E6" s="864"/>
      <c r="F6" s="843"/>
      <c r="G6" s="853"/>
      <c r="H6" s="856"/>
      <c r="I6" s="843"/>
      <c r="J6" s="846"/>
      <c r="K6" s="860"/>
      <c r="L6" s="908"/>
      <c r="M6" s="878"/>
      <c r="N6" s="447">
        <v>2025</v>
      </c>
      <c r="O6" s="448" t="s">
        <v>141</v>
      </c>
      <c r="P6" s="449" t="s">
        <v>142</v>
      </c>
      <c r="Q6" s="450" t="s">
        <v>545</v>
      </c>
      <c r="R6" s="903" t="s">
        <v>141</v>
      </c>
      <c r="S6" s="904"/>
      <c r="T6" s="905"/>
      <c r="U6" s="442" t="s">
        <v>546</v>
      </c>
      <c r="V6" s="451" t="s">
        <v>547</v>
      </c>
      <c r="W6" s="424"/>
    </row>
    <row r="7" spans="1:23" s="400" customFormat="1" ht="15.75" thickBot="1" x14ac:dyDescent="0.3">
      <c r="A7" s="396" t="s">
        <v>475</v>
      </c>
      <c r="B7" s="403"/>
      <c r="C7" s="452">
        <f>C9+C18+C25+C54</f>
        <v>10498899.17</v>
      </c>
      <c r="D7" s="453">
        <f>D18+D54</f>
        <v>6916354.5500000007</v>
      </c>
      <c r="E7" s="454">
        <f>E9+E18+E25+E54</f>
        <v>1250601.54</v>
      </c>
      <c r="F7" s="452">
        <f>F9+F18+F25+F8+F54</f>
        <v>2354445.7799999998</v>
      </c>
      <c r="G7" s="453">
        <f>G9+G18+G25+G54</f>
        <v>830853.42000000016</v>
      </c>
      <c r="H7" s="454">
        <f>H9+H18+H54</f>
        <v>358238.38</v>
      </c>
      <c r="I7" s="575">
        <f>I9+I18+I54</f>
        <v>770645.5</v>
      </c>
      <c r="J7" s="453">
        <f>J9+J18+J25+J54+J8</f>
        <v>14863714.479999999</v>
      </c>
      <c r="K7" s="454">
        <f>K9+K18+K25</f>
        <v>11647829.860000001</v>
      </c>
      <c r="L7" s="454">
        <f>L9+L18+L53</f>
        <v>969722.85</v>
      </c>
      <c r="M7" s="455">
        <f>J7+L7</f>
        <v>15833437.329999998</v>
      </c>
      <c r="N7" s="456">
        <f>N9+N18+N25+N29+N53+N54+N55</f>
        <v>14893721.710000005</v>
      </c>
      <c r="O7" s="457">
        <f>O9+O18+O25+O29+O53+O55</f>
        <v>14779425.700000003</v>
      </c>
      <c r="P7" s="458">
        <f>P9+P18+P25+P29+P53</f>
        <v>396851.41000000003</v>
      </c>
      <c r="Q7" s="459"/>
      <c r="R7" s="457">
        <f>R9+R18+R25</f>
        <v>659837.34000000008</v>
      </c>
      <c r="S7" s="458">
        <f>S9+S18+S25</f>
        <v>52205</v>
      </c>
      <c r="T7" s="459">
        <f>T9+T18+T25</f>
        <v>369165.37000000005</v>
      </c>
      <c r="U7" s="459">
        <f>U9+U18+U25</f>
        <v>13012</v>
      </c>
      <c r="V7" s="456">
        <f>V9+V18+V25</f>
        <v>35936.329999999994</v>
      </c>
      <c r="W7" s="424"/>
    </row>
    <row r="8" spans="1:23" s="400" customFormat="1" ht="15.75" thickBot="1" x14ac:dyDescent="0.3">
      <c r="A8" s="395" t="s">
        <v>476</v>
      </c>
      <c r="B8" s="404" t="s">
        <v>477</v>
      </c>
      <c r="C8" s="460"/>
      <c r="D8" s="461"/>
      <c r="E8" s="582"/>
      <c r="F8" s="584">
        <v>5545.78</v>
      </c>
      <c r="G8" s="462"/>
      <c r="H8" s="585"/>
      <c r="I8" s="583"/>
      <c r="J8" s="463">
        <f>F8</f>
        <v>5545.78</v>
      </c>
      <c r="K8" s="464"/>
      <c r="L8" s="465"/>
      <c r="M8" s="466">
        <f>J8</f>
        <v>5545.78</v>
      </c>
      <c r="N8" s="467"/>
      <c r="O8" s="468"/>
      <c r="P8" s="469"/>
      <c r="Q8" s="470"/>
      <c r="R8" s="471"/>
      <c r="S8" s="472"/>
      <c r="T8" s="473"/>
      <c r="U8" s="474"/>
      <c r="V8" s="521"/>
      <c r="W8" s="424"/>
    </row>
    <row r="9" spans="1:23" s="400" customFormat="1" ht="15.75" thickBot="1" x14ac:dyDescent="0.3">
      <c r="A9" s="370" t="s">
        <v>478</v>
      </c>
      <c r="B9" s="405" t="s">
        <v>479</v>
      </c>
      <c r="C9" s="475">
        <f>C10+C11+C12+C13+C14+C15+C16+C17</f>
        <v>2601464.36</v>
      </c>
      <c r="D9" s="477">
        <f>D10+D11+D12+D13+D14+D15+D16+D17</f>
        <v>2336937.7600000002</v>
      </c>
      <c r="E9" s="477">
        <f>E10+E11+E12+E13+E14+E15+E16+E17</f>
        <v>264526.59999999998</v>
      </c>
      <c r="F9" s="475">
        <f>F10+F11+F12+F13+F14+F15+F16+F17</f>
        <v>375506</v>
      </c>
      <c r="G9" s="476">
        <f t="shared" ref="G9:P9" si="0">G10+G11+G12+G13+G14+G15+G16+G17</f>
        <v>211048.71000000002</v>
      </c>
      <c r="H9" s="477">
        <f t="shared" si="0"/>
        <v>188195.82</v>
      </c>
      <c r="I9" s="576">
        <f t="shared" si="0"/>
        <v>43043</v>
      </c>
      <c r="J9" s="476">
        <f>J10+J11+J12+J13+J14+J15+J16+J17</f>
        <v>3419257.89</v>
      </c>
      <c r="K9" s="477">
        <f t="shared" si="0"/>
        <v>2712443.7600000002</v>
      </c>
      <c r="L9" s="477">
        <f>L10+L11+L12+L13+L14+L15+L16+L17</f>
        <v>9000.2800000000007</v>
      </c>
      <c r="M9" s="478">
        <f t="shared" si="0"/>
        <v>3428258.17</v>
      </c>
      <c r="N9" s="479">
        <f t="shared" si="0"/>
        <v>2721444.04</v>
      </c>
      <c r="O9" s="480">
        <f>O10+O11+O12+O13+O14+O15+O16+O17</f>
        <v>2712443.7600000002</v>
      </c>
      <c r="P9" s="481">
        <f t="shared" si="0"/>
        <v>9000.2800000000007</v>
      </c>
      <c r="Q9" s="482"/>
      <c r="R9" s="480">
        <f>SUM(R10:R17)</f>
        <v>163096.16000000003</v>
      </c>
      <c r="S9" s="481">
        <f>SUM(S10:S17)</f>
        <v>0</v>
      </c>
      <c r="T9" s="482">
        <f>SUM(T10:T17)</f>
        <v>191099.28000000003</v>
      </c>
      <c r="U9" s="482">
        <f>SUM(U10:U17)</f>
        <v>13012</v>
      </c>
      <c r="V9" s="479">
        <f>SUM(V10:V17)</f>
        <v>7426.7</v>
      </c>
      <c r="W9" s="424"/>
    </row>
    <row r="10" spans="1:23" s="400" customFormat="1" x14ac:dyDescent="0.25">
      <c r="A10" s="690" t="s">
        <v>480</v>
      </c>
      <c r="B10" s="691" t="s">
        <v>481</v>
      </c>
      <c r="C10" s="591">
        <f>E10+D10</f>
        <v>288706</v>
      </c>
      <c r="D10" s="692">
        <f>2719+262085</f>
        <v>264804</v>
      </c>
      <c r="E10" s="433">
        <f>6828+4354+8824+3000+896</f>
        <v>23902</v>
      </c>
      <c r="F10" s="437">
        <v>42451</v>
      </c>
      <c r="G10" s="433">
        <v>19129.45</v>
      </c>
      <c r="H10" s="434">
        <v>21160.84</v>
      </c>
      <c r="I10" s="438">
        <v>4184.6000000000004</v>
      </c>
      <c r="J10" s="433">
        <f>C10+F10+G10+H10+I10</f>
        <v>375631.89</v>
      </c>
      <c r="K10" s="693">
        <f>F10+D10</f>
        <v>307255</v>
      </c>
      <c r="L10" s="693">
        <v>2153.9</v>
      </c>
      <c r="M10" s="483">
        <f t="shared" ref="M10:M17" si="1">J10+L10</f>
        <v>377785.79000000004</v>
      </c>
      <c r="N10" s="694">
        <f>O10+P10</f>
        <v>309408.90000000002</v>
      </c>
      <c r="O10" s="695">
        <f t="shared" ref="O10:O16" si="2">K10</f>
        <v>307255</v>
      </c>
      <c r="P10" s="696">
        <f>L10</f>
        <v>2153.9</v>
      </c>
      <c r="Q10" s="697"/>
      <c r="R10" s="698">
        <v>19129.45</v>
      </c>
      <c r="S10" s="699"/>
      <c r="T10" s="699">
        <v>21176.2</v>
      </c>
      <c r="U10" s="700"/>
      <c r="V10" s="699">
        <v>23.65</v>
      </c>
      <c r="W10" s="424"/>
    </row>
    <row r="11" spans="1:23" s="400" customFormat="1" x14ac:dyDescent="0.25">
      <c r="A11" s="701" t="s">
        <v>482</v>
      </c>
      <c r="B11" s="702" t="s">
        <v>483</v>
      </c>
      <c r="C11" s="591">
        <f t="shared" ref="C11:C17" si="3">E11+D11</f>
        <v>429480.6</v>
      </c>
      <c r="D11" s="703">
        <f>5438+384183</f>
        <v>389621</v>
      </c>
      <c r="E11" s="430">
        <f>16.6+8323+150+11276+4354+8824+5250+1666</f>
        <v>39859.599999999999</v>
      </c>
      <c r="F11" s="431">
        <v>89086</v>
      </c>
      <c r="G11" s="430">
        <v>42213.74</v>
      </c>
      <c r="H11" s="435">
        <v>36798.68</v>
      </c>
      <c r="I11" s="438">
        <v>8153.6</v>
      </c>
      <c r="J11" s="433">
        <f t="shared" ref="J11:J16" si="4">C11+F11+G11+H11+I11</f>
        <v>605732.62</v>
      </c>
      <c r="K11" s="435">
        <f t="shared" ref="K11:K16" si="5">F11+D11</f>
        <v>478707</v>
      </c>
      <c r="L11" s="435">
        <v>0</v>
      </c>
      <c r="M11" s="483">
        <f t="shared" si="1"/>
        <v>605732.62</v>
      </c>
      <c r="N11" s="704">
        <f t="shared" ref="N11:N17" si="6">O11+P11</f>
        <v>478707</v>
      </c>
      <c r="O11" s="705">
        <f t="shared" si="2"/>
        <v>478707</v>
      </c>
      <c r="P11" s="706">
        <f t="shared" ref="P11:P16" si="7">L11</f>
        <v>0</v>
      </c>
      <c r="Q11" s="707"/>
      <c r="R11" s="698">
        <v>29859.35</v>
      </c>
      <c r="S11" s="699"/>
      <c r="T11" s="699">
        <v>36820.230000000003</v>
      </c>
      <c r="U11" s="708"/>
      <c r="V11" s="699">
        <v>282.91000000000003</v>
      </c>
      <c r="W11" s="424"/>
    </row>
    <row r="12" spans="1:23" s="400" customFormat="1" x14ac:dyDescent="0.25">
      <c r="A12" s="701" t="s">
        <v>484</v>
      </c>
      <c r="B12" s="702" t="s">
        <v>485</v>
      </c>
      <c r="C12" s="591">
        <f t="shared" si="3"/>
        <v>727240</v>
      </c>
      <c r="D12" s="703">
        <f>6525.6+645598</f>
        <v>652123.6</v>
      </c>
      <c r="E12" s="430">
        <f>101.3+246.1+9184+75+24932+13368+17648+7800+1762</f>
        <v>75116.399999999994</v>
      </c>
      <c r="F12" s="431">
        <v>85422</v>
      </c>
      <c r="G12" s="430">
        <v>45435.97</v>
      </c>
      <c r="H12" s="435">
        <v>51460.22</v>
      </c>
      <c r="I12" s="438">
        <v>11284</v>
      </c>
      <c r="J12" s="433">
        <f t="shared" si="4"/>
        <v>920842.19</v>
      </c>
      <c r="K12" s="435">
        <f t="shared" si="5"/>
        <v>737545.6</v>
      </c>
      <c r="L12" s="435">
        <v>0</v>
      </c>
      <c r="M12" s="483">
        <f t="shared" si="1"/>
        <v>920842.19</v>
      </c>
      <c r="N12" s="704">
        <f t="shared" si="6"/>
        <v>737545.6</v>
      </c>
      <c r="O12" s="705">
        <f>K12</f>
        <v>737545.6</v>
      </c>
      <c r="P12" s="706">
        <f t="shared" si="7"/>
        <v>0</v>
      </c>
      <c r="Q12" s="707"/>
      <c r="R12" s="698">
        <v>45435.97</v>
      </c>
      <c r="S12" s="699"/>
      <c r="T12" s="699">
        <v>51873.08</v>
      </c>
      <c r="U12" s="708"/>
      <c r="V12" s="699">
        <v>1813.31</v>
      </c>
      <c r="W12" s="424"/>
    </row>
    <row r="13" spans="1:23" s="400" customFormat="1" x14ac:dyDescent="0.25">
      <c r="A13" s="701" t="s">
        <v>486</v>
      </c>
      <c r="B13" s="702" t="s">
        <v>487</v>
      </c>
      <c r="C13" s="591">
        <f t="shared" si="3"/>
        <v>0</v>
      </c>
      <c r="D13" s="703"/>
      <c r="E13" s="430"/>
      <c r="F13" s="431"/>
      <c r="G13" s="430"/>
      <c r="H13" s="435"/>
      <c r="I13" s="438"/>
      <c r="J13" s="433">
        <f t="shared" si="4"/>
        <v>0</v>
      </c>
      <c r="K13" s="435">
        <f t="shared" si="5"/>
        <v>0</v>
      </c>
      <c r="L13" s="435"/>
      <c r="M13" s="483">
        <f t="shared" si="1"/>
        <v>0</v>
      </c>
      <c r="N13" s="709">
        <f t="shared" si="6"/>
        <v>0</v>
      </c>
      <c r="O13" s="705">
        <f t="shared" si="2"/>
        <v>0</v>
      </c>
      <c r="P13" s="706">
        <f t="shared" si="7"/>
        <v>0</v>
      </c>
      <c r="Q13" s="707"/>
      <c r="R13" s="698"/>
      <c r="S13" s="699"/>
      <c r="T13" s="699"/>
      <c r="U13" s="708"/>
      <c r="V13" s="710"/>
      <c r="W13" s="424"/>
    </row>
    <row r="14" spans="1:23" s="400" customFormat="1" x14ac:dyDescent="0.25">
      <c r="A14" s="701" t="s">
        <v>488</v>
      </c>
      <c r="B14" s="702" t="s">
        <v>489</v>
      </c>
      <c r="C14" s="591">
        <f t="shared" si="3"/>
        <v>344987.68</v>
      </c>
      <c r="D14" s="703">
        <f>3589.08+313627</f>
        <v>317216.08</v>
      </c>
      <c r="E14" s="430">
        <f>16.6+6888+2380+4354+8824+4200+1109</f>
        <v>27771.599999999999</v>
      </c>
      <c r="F14" s="431">
        <v>55900</v>
      </c>
      <c r="G14" s="430">
        <v>18389.169999999998</v>
      </c>
      <c r="H14" s="435">
        <v>24672.95</v>
      </c>
      <c r="I14" s="438">
        <v>6612.2</v>
      </c>
      <c r="J14" s="433">
        <f t="shared" si="4"/>
        <v>450562</v>
      </c>
      <c r="K14" s="435">
        <f t="shared" si="5"/>
        <v>373116.08</v>
      </c>
      <c r="L14" s="435">
        <v>2819.61</v>
      </c>
      <c r="M14" s="483">
        <f t="shared" si="1"/>
        <v>453381.61</v>
      </c>
      <c r="N14" s="704">
        <f t="shared" si="6"/>
        <v>375935.69</v>
      </c>
      <c r="O14" s="705">
        <f t="shared" si="2"/>
        <v>373116.08</v>
      </c>
      <c r="P14" s="706">
        <f t="shared" si="7"/>
        <v>2819.61</v>
      </c>
      <c r="Q14" s="707"/>
      <c r="R14" s="698">
        <v>20975.919999999998</v>
      </c>
      <c r="S14" s="699"/>
      <c r="T14" s="699">
        <v>24219.39</v>
      </c>
      <c r="U14" s="708"/>
      <c r="V14" s="699">
        <v>696.46</v>
      </c>
      <c r="W14" s="424"/>
    </row>
    <row r="15" spans="1:23" s="400" customFormat="1" x14ac:dyDescent="0.25">
      <c r="A15" s="701" t="s">
        <v>490</v>
      </c>
      <c r="B15" s="702" t="s">
        <v>491</v>
      </c>
      <c r="C15" s="591">
        <f t="shared" si="3"/>
        <v>397246.08</v>
      </c>
      <c r="D15" s="703">
        <f>3589.08+348605</f>
        <v>352194.08</v>
      </c>
      <c r="E15" s="430">
        <f>8896+30682+4350+1124</f>
        <v>45052</v>
      </c>
      <c r="F15" s="431">
        <v>56929</v>
      </c>
      <c r="G15" s="430">
        <v>62074.8</v>
      </c>
      <c r="H15" s="435">
        <v>27169.7</v>
      </c>
      <c r="I15" s="438">
        <v>6748</v>
      </c>
      <c r="J15" s="433">
        <f t="shared" si="4"/>
        <v>550167.57999999996</v>
      </c>
      <c r="K15" s="435">
        <f t="shared" si="5"/>
        <v>409123.08</v>
      </c>
      <c r="L15" s="435"/>
      <c r="M15" s="483">
        <f t="shared" si="1"/>
        <v>550167.57999999996</v>
      </c>
      <c r="N15" s="704">
        <f t="shared" si="6"/>
        <v>409123.08</v>
      </c>
      <c r="O15" s="705">
        <f t="shared" si="2"/>
        <v>409123.08</v>
      </c>
      <c r="P15" s="706">
        <f t="shared" si="7"/>
        <v>0</v>
      </c>
      <c r="Q15" s="707"/>
      <c r="R15" s="698">
        <v>23799.89</v>
      </c>
      <c r="S15" s="699"/>
      <c r="T15" s="699">
        <v>27660.65</v>
      </c>
      <c r="U15" s="708">
        <v>13012</v>
      </c>
      <c r="V15" s="699">
        <v>2198.4499999999998</v>
      </c>
      <c r="W15" s="424"/>
    </row>
    <row r="16" spans="1:23" s="400" customFormat="1" x14ac:dyDescent="0.25">
      <c r="A16" s="589" t="s">
        <v>492</v>
      </c>
      <c r="B16" s="590" t="s">
        <v>493</v>
      </c>
      <c r="C16" s="591">
        <f t="shared" si="3"/>
        <v>413804</v>
      </c>
      <c r="D16" s="703">
        <f>2675+358304</f>
        <v>360979</v>
      </c>
      <c r="E16" s="439">
        <f>1722+27312+4354+14572+3950+915</f>
        <v>52825</v>
      </c>
      <c r="F16" s="440">
        <v>45718</v>
      </c>
      <c r="G16" s="439">
        <v>23805.58</v>
      </c>
      <c r="H16" s="432">
        <v>26933.43</v>
      </c>
      <c r="I16" s="441">
        <v>6060.6</v>
      </c>
      <c r="J16" s="433">
        <f t="shared" si="4"/>
        <v>516321.61</v>
      </c>
      <c r="K16" s="434">
        <f t="shared" si="5"/>
        <v>406697</v>
      </c>
      <c r="L16" s="435">
        <v>4026.77</v>
      </c>
      <c r="M16" s="483">
        <f t="shared" si="1"/>
        <v>520348.38</v>
      </c>
      <c r="N16" s="704">
        <f t="shared" si="6"/>
        <v>410723.77</v>
      </c>
      <c r="O16" s="705">
        <f t="shared" si="2"/>
        <v>406697</v>
      </c>
      <c r="P16" s="711">
        <f t="shared" si="7"/>
        <v>4026.77</v>
      </c>
      <c r="Q16" s="707"/>
      <c r="R16" s="698">
        <v>23895.58</v>
      </c>
      <c r="S16" s="699"/>
      <c r="T16" s="699">
        <v>29349.73</v>
      </c>
      <c r="U16" s="708"/>
      <c r="V16" s="699">
        <v>2411.92</v>
      </c>
      <c r="W16" s="424"/>
    </row>
    <row r="17" spans="1:26" s="400" customFormat="1" ht="15.75" thickBot="1" x14ac:dyDescent="0.3">
      <c r="A17" s="589" t="s">
        <v>494</v>
      </c>
      <c r="B17" s="590" t="s">
        <v>495</v>
      </c>
      <c r="C17" s="591">
        <f t="shared" si="3"/>
        <v>0</v>
      </c>
      <c r="D17" s="439"/>
      <c r="E17" s="432"/>
      <c r="F17" s="440"/>
      <c r="G17" s="439">
        <v>0</v>
      </c>
      <c r="H17" s="432"/>
      <c r="I17" s="592"/>
      <c r="J17" s="433">
        <f>C17+F17+G17+H17</f>
        <v>0</v>
      </c>
      <c r="K17" s="593">
        <f t="shared" ref="K17" si="8">F17</f>
        <v>0</v>
      </c>
      <c r="L17" s="593"/>
      <c r="M17" s="483">
        <f t="shared" si="1"/>
        <v>0</v>
      </c>
      <c r="N17" s="594">
        <f t="shared" si="6"/>
        <v>0</v>
      </c>
      <c r="O17" s="595"/>
      <c r="P17" s="485"/>
      <c r="Q17" s="596"/>
      <c r="R17" s="597"/>
      <c r="S17" s="598"/>
      <c r="T17" s="599"/>
      <c r="U17" s="600"/>
      <c r="V17" s="601"/>
      <c r="W17" s="424"/>
    </row>
    <row r="18" spans="1:26" s="400" customFormat="1" ht="15.75" thickBot="1" x14ac:dyDescent="0.3">
      <c r="A18" s="371" t="s">
        <v>496</v>
      </c>
      <c r="B18" s="406" t="s">
        <v>497</v>
      </c>
      <c r="C18" s="480">
        <f t="shared" ref="C18:K18" si="9">C19+C20+C21+C22+C23+C24</f>
        <v>7877146.4900000002</v>
      </c>
      <c r="D18" s="481">
        <f t="shared" si="9"/>
        <v>6916354.5500000007</v>
      </c>
      <c r="E18" s="486">
        <f t="shared" si="9"/>
        <v>960791.94</v>
      </c>
      <c r="F18" s="480">
        <f t="shared" si="9"/>
        <v>964835</v>
      </c>
      <c r="G18" s="481">
        <f t="shared" si="9"/>
        <v>400734.89000000007</v>
      </c>
      <c r="H18" s="486">
        <f t="shared" si="9"/>
        <v>170042.56</v>
      </c>
      <c r="I18" s="578">
        <f t="shared" si="9"/>
        <v>648859.5</v>
      </c>
      <c r="J18" s="481">
        <f>J19+J20+J21+J22+J23+J24</f>
        <v>10061618.439999999</v>
      </c>
      <c r="K18" s="486">
        <f t="shared" si="9"/>
        <v>7881189.5500000007</v>
      </c>
      <c r="L18" s="486">
        <f>L19+L20+L21+L22+L23+L24</f>
        <v>940581.92999999993</v>
      </c>
      <c r="M18" s="487">
        <f>M19+M20+M21+M22+M23+M24</f>
        <v>11002200.369999999</v>
      </c>
      <c r="N18" s="479">
        <f>N19+N20+N21+N22+N23+N24</f>
        <v>8248900.040000001</v>
      </c>
      <c r="O18" s="480">
        <f>O19+O20+O21+O22+O23+O24</f>
        <v>7881189.5500000007</v>
      </c>
      <c r="P18" s="481">
        <f>P19+P20+P21+P22+P23+P24</f>
        <v>367710.49</v>
      </c>
      <c r="Q18" s="482"/>
      <c r="R18" s="480">
        <f>SUM(R19:R24)</f>
        <v>319981.36000000004</v>
      </c>
      <c r="S18" s="481">
        <f>SUM(S19:S24)</f>
        <v>9895</v>
      </c>
      <c r="T18" s="482">
        <f>SUM(T19:T24)</f>
        <v>178066.09000000003</v>
      </c>
      <c r="U18" s="394"/>
      <c r="V18" s="479">
        <f>SUM(V19:V24)</f>
        <v>28509.629999999997</v>
      </c>
      <c r="W18" s="424"/>
    </row>
    <row r="19" spans="1:26" s="400" customFormat="1" x14ac:dyDescent="0.25">
      <c r="A19" s="690" t="s">
        <v>498</v>
      </c>
      <c r="B19" s="691" t="s">
        <v>499</v>
      </c>
      <c r="C19" s="437">
        <f t="shared" ref="C19:C24" si="10">D19+E19</f>
        <v>795962.56</v>
      </c>
      <c r="D19" s="433">
        <f>6090.56+680812</f>
        <v>686902.56</v>
      </c>
      <c r="E19" s="433">
        <f>900+4365+31.26+983.74+18348+4448+1400+16569+52944+3000+1812+4259</f>
        <v>109060</v>
      </c>
      <c r="F19" s="437">
        <v>75389</v>
      </c>
      <c r="G19" s="433">
        <v>29274.880000000001</v>
      </c>
      <c r="H19" s="434">
        <v>17512.849999999999</v>
      </c>
      <c r="I19" s="438">
        <v>42015.8</v>
      </c>
      <c r="J19" s="433">
        <f t="shared" ref="J19:J24" si="11">C19+F19+G19+H19+I19</f>
        <v>960155.09000000008</v>
      </c>
      <c r="K19" s="434">
        <f>D19+F19</f>
        <v>762291.56</v>
      </c>
      <c r="L19" s="434">
        <v>677871.44</v>
      </c>
      <c r="M19" s="483">
        <f>J19+L19</f>
        <v>1638026.53</v>
      </c>
      <c r="N19" s="694">
        <f t="shared" ref="N19:N24" si="12">O19+P19</f>
        <v>867291.56</v>
      </c>
      <c r="O19" s="695">
        <f t="shared" ref="O19:O24" si="13">K19</f>
        <v>762291.56</v>
      </c>
      <c r="P19" s="488">
        <v>105000</v>
      </c>
      <c r="Q19" s="697"/>
      <c r="R19" s="698">
        <v>20129.8</v>
      </c>
      <c r="S19" s="699"/>
      <c r="T19" s="699">
        <v>18472.03</v>
      </c>
      <c r="U19" s="713"/>
      <c r="V19" s="699">
        <v>2074.1799999999998</v>
      </c>
      <c r="W19" s="424"/>
    </row>
    <row r="20" spans="1:26" s="400" customFormat="1" x14ac:dyDescent="0.25">
      <c r="A20" s="701" t="s">
        <v>500</v>
      </c>
      <c r="B20" s="702" t="s">
        <v>501</v>
      </c>
      <c r="C20" s="431">
        <f t="shared" si="10"/>
        <v>1161966.8999999999</v>
      </c>
      <c r="D20" s="430">
        <f>10812+1022060</f>
        <v>1032872</v>
      </c>
      <c r="E20" s="430">
        <f>5400+7482+325.5+5904.4+166+29340+700+3100+26736+35296+4050+10595</f>
        <v>129094.9</v>
      </c>
      <c r="F20" s="431">
        <v>152652</v>
      </c>
      <c r="G20" s="430">
        <v>59694.95</v>
      </c>
      <c r="H20" s="435">
        <v>22646.05</v>
      </c>
      <c r="I20" s="438">
        <v>111507.3</v>
      </c>
      <c r="J20" s="433">
        <f t="shared" si="11"/>
        <v>1508467.2</v>
      </c>
      <c r="K20" s="435">
        <f t="shared" ref="K20:K24" si="14">D20+F20</f>
        <v>1185524</v>
      </c>
      <c r="L20" s="435"/>
      <c r="M20" s="483">
        <f t="shared" ref="M20:M24" si="15">J20+L20</f>
        <v>1508467.2</v>
      </c>
      <c r="N20" s="704">
        <f t="shared" si="12"/>
        <v>1185524</v>
      </c>
      <c r="O20" s="705">
        <f t="shared" si="13"/>
        <v>1185524</v>
      </c>
      <c r="P20" s="488"/>
      <c r="Q20" s="697"/>
      <c r="R20" s="698">
        <v>59694.95</v>
      </c>
      <c r="S20" s="699">
        <v>9895</v>
      </c>
      <c r="T20" s="699">
        <v>25549.77</v>
      </c>
      <c r="U20" s="708"/>
      <c r="V20" s="699">
        <v>4431.22</v>
      </c>
      <c r="W20" s="424"/>
    </row>
    <row r="21" spans="1:26" s="400" customFormat="1" x14ac:dyDescent="0.25">
      <c r="A21" s="701" t="s">
        <v>502</v>
      </c>
      <c r="B21" s="702" t="s">
        <v>503</v>
      </c>
      <c r="C21" s="431">
        <f t="shared" si="10"/>
        <v>1990404.75</v>
      </c>
      <c r="D21" s="430">
        <f>6664+19054.25+1721263</f>
        <v>1746981.25</v>
      </c>
      <c r="E21" s="430">
        <f>7500+8083+637.6+8092.1+132.8+41076+3856+150+4000+20358+126208+2550+6280+600+13900</f>
        <v>243423.5</v>
      </c>
      <c r="F21" s="431">
        <v>260985</v>
      </c>
      <c r="G21" s="430">
        <v>86957.06</v>
      </c>
      <c r="H21" s="435">
        <v>37933.519999999997</v>
      </c>
      <c r="I21" s="438">
        <v>158075.79999999999</v>
      </c>
      <c r="J21" s="433">
        <f t="shared" si="11"/>
        <v>2534356.13</v>
      </c>
      <c r="K21" s="435">
        <f t="shared" si="14"/>
        <v>2007966.25</v>
      </c>
      <c r="L21" s="435">
        <v>262710.49</v>
      </c>
      <c r="M21" s="483">
        <f t="shared" si="15"/>
        <v>2797066.62</v>
      </c>
      <c r="N21" s="704">
        <f t="shared" si="12"/>
        <v>2270676.7400000002</v>
      </c>
      <c r="O21" s="705">
        <f t="shared" si="13"/>
        <v>2007966.25</v>
      </c>
      <c r="P21" s="488">
        <v>262710.49</v>
      </c>
      <c r="Q21" s="697"/>
      <c r="R21" s="698">
        <v>80705</v>
      </c>
      <c r="S21" s="699"/>
      <c r="T21" s="699">
        <v>33141.620000000003</v>
      </c>
      <c r="U21" s="708"/>
      <c r="V21" s="699">
        <v>8749.02</v>
      </c>
      <c r="W21" s="424"/>
    </row>
    <row r="22" spans="1:26" s="400" customFormat="1" x14ac:dyDescent="0.25">
      <c r="A22" s="701" t="s">
        <v>504</v>
      </c>
      <c r="B22" s="702" t="s">
        <v>505</v>
      </c>
      <c r="C22" s="431">
        <f t="shared" si="10"/>
        <v>1749378.84</v>
      </c>
      <c r="D22" s="430">
        <f>1504182+13551</f>
        <v>1517733</v>
      </c>
      <c r="E22" s="430">
        <f>6300+7046+64.35+12854.49+14996+9208+9100+152680+4998+14399</f>
        <v>231645.84</v>
      </c>
      <c r="F22" s="431">
        <v>217049</v>
      </c>
      <c r="G22" s="430">
        <v>129682.65</v>
      </c>
      <c r="H22" s="435">
        <v>18961.759999999998</v>
      </c>
      <c r="I22" s="438">
        <v>161448.6</v>
      </c>
      <c r="J22" s="433">
        <f t="shared" si="11"/>
        <v>2276520.85</v>
      </c>
      <c r="K22" s="435">
        <f t="shared" si="14"/>
        <v>1734782</v>
      </c>
      <c r="L22" s="435"/>
      <c r="M22" s="483">
        <f t="shared" si="15"/>
        <v>2276520.85</v>
      </c>
      <c r="N22" s="704">
        <f t="shared" si="12"/>
        <v>1734782</v>
      </c>
      <c r="O22" s="705">
        <f t="shared" si="13"/>
        <v>1734782</v>
      </c>
      <c r="P22" s="488"/>
      <c r="Q22" s="697"/>
      <c r="R22" s="698">
        <v>86096.26</v>
      </c>
      <c r="S22" s="699"/>
      <c r="T22" s="699">
        <v>31789.9</v>
      </c>
      <c r="U22" s="708"/>
      <c r="V22" s="699">
        <v>4440.1099999999997</v>
      </c>
      <c r="W22" s="424"/>
    </row>
    <row r="23" spans="1:26" s="400" customFormat="1" x14ac:dyDescent="0.25">
      <c r="A23" s="701" t="s">
        <v>506</v>
      </c>
      <c r="B23" s="702" t="s">
        <v>507</v>
      </c>
      <c r="C23" s="431">
        <f t="shared" si="10"/>
        <v>1388049.7</v>
      </c>
      <c r="D23" s="430">
        <f>13181+1197704</f>
        <v>1210885</v>
      </c>
      <c r="E23" s="430">
        <f>3300+8563+56.36+5574.94+66.4+40750+150+45+3200+9320+88240+4897+13002</f>
        <v>177164.7</v>
      </c>
      <c r="F23" s="431">
        <v>200019</v>
      </c>
      <c r="G23" s="430">
        <v>74669.41</v>
      </c>
      <c r="H23" s="435">
        <v>72988.38</v>
      </c>
      <c r="I23" s="438">
        <v>124766.9</v>
      </c>
      <c r="J23" s="433">
        <f t="shared" si="11"/>
        <v>1860493.3899999997</v>
      </c>
      <c r="K23" s="435">
        <f t="shared" si="14"/>
        <v>1410904</v>
      </c>
      <c r="L23" s="435"/>
      <c r="M23" s="483">
        <f t="shared" si="15"/>
        <v>1860493.3899999997</v>
      </c>
      <c r="N23" s="704">
        <f t="shared" si="12"/>
        <v>1410904</v>
      </c>
      <c r="O23" s="705">
        <f t="shared" si="13"/>
        <v>1410904</v>
      </c>
      <c r="P23" s="484">
        <f>L23</f>
        <v>0</v>
      </c>
      <c r="Q23" s="707"/>
      <c r="R23" s="698">
        <v>52899.41</v>
      </c>
      <c r="S23" s="699"/>
      <c r="T23" s="699">
        <v>69112.77</v>
      </c>
      <c r="U23" s="708"/>
      <c r="V23" s="699">
        <v>8815.1</v>
      </c>
      <c r="W23" s="424"/>
      <c r="Z23" s="424"/>
    </row>
    <row r="24" spans="1:26" s="400" customFormat="1" ht="15.75" thickBot="1" x14ac:dyDescent="0.3">
      <c r="A24" s="589" t="s">
        <v>508</v>
      </c>
      <c r="B24" s="590" t="s">
        <v>509</v>
      </c>
      <c r="C24" s="440">
        <f t="shared" si="10"/>
        <v>791383.74</v>
      </c>
      <c r="D24" s="439">
        <f>2653.74+718327</f>
        <v>720980.74</v>
      </c>
      <c r="E24" s="439">
        <f>2550+5242+102.07+6359.93+8561+1100+4660+32220+1250+1350+150+6858</f>
        <v>70403</v>
      </c>
      <c r="F24" s="440">
        <v>58741</v>
      </c>
      <c r="G24" s="439">
        <v>20455.939999999999</v>
      </c>
      <c r="H24" s="432"/>
      <c r="I24" s="592">
        <v>51045.1</v>
      </c>
      <c r="J24" s="433">
        <f t="shared" si="11"/>
        <v>921625.77999999991</v>
      </c>
      <c r="K24" s="432">
        <f t="shared" si="14"/>
        <v>779721.74</v>
      </c>
      <c r="L24" s="432">
        <v>0</v>
      </c>
      <c r="M24" s="483">
        <f t="shared" si="15"/>
        <v>921625.77999999991</v>
      </c>
      <c r="N24" s="594">
        <f t="shared" si="12"/>
        <v>779721.74</v>
      </c>
      <c r="O24" s="595">
        <f t="shared" si="13"/>
        <v>779721.74</v>
      </c>
      <c r="P24" s="485"/>
      <c r="Q24" s="596"/>
      <c r="R24" s="698">
        <v>20455.939999999999</v>
      </c>
      <c r="S24" s="699"/>
      <c r="T24" s="712"/>
      <c r="U24" s="714"/>
      <c r="V24" s="715"/>
      <c r="W24" s="424"/>
    </row>
    <row r="25" spans="1:26" s="400" customFormat="1" ht="15.75" thickBot="1" x14ac:dyDescent="0.3">
      <c r="A25" s="372" t="s">
        <v>510</v>
      </c>
      <c r="B25" s="407" t="s">
        <v>511</v>
      </c>
      <c r="C25" s="480">
        <f>C27+C28</f>
        <v>20288.32</v>
      </c>
      <c r="D25" s="486">
        <f>D26+D27+D28</f>
        <v>45637.55</v>
      </c>
      <c r="E25" s="486">
        <f>E26+E27+E28</f>
        <v>25283</v>
      </c>
      <c r="F25" s="480">
        <f>F26+F27</f>
        <v>1008559</v>
      </c>
      <c r="G25" s="481">
        <f>G26+G27</f>
        <v>219069.82</v>
      </c>
      <c r="H25" s="486"/>
      <c r="I25" s="578"/>
      <c r="J25" s="481">
        <f>J26+J27+J28</f>
        <v>1298549.3700000001</v>
      </c>
      <c r="K25" s="486">
        <f>K26+K27</f>
        <v>1054196.55</v>
      </c>
      <c r="L25" s="486">
        <f>L26+L27</f>
        <v>0</v>
      </c>
      <c r="M25" s="487">
        <f>M26+M27+M28</f>
        <v>1298549.3700000001</v>
      </c>
      <c r="N25" s="479">
        <f>N26+N27</f>
        <v>1054196.55</v>
      </c>
      <c r="O25" s="480">
        <f>O26+O27</f>
        <v>1054196.55</v>
      </c>
      <c r="P25" s="481">
        <f>P26+P27</f>
        <v>0</v>
      </c>
      <c r="Q25" s="482"/>
      <c r="R25" s="480">
        <f>SUM(R26:R28)</f>
        <v>176759.82</v>
      </c>
      <c r="S25" s="481">
        <f>SUM(S26:S28)</f>
        <v>42310</v>
      </c>
      <c r="T25" s="482">
        <f>SUM(T26:T28)</f>
        <v>0</v>
      </c>
      <c r="U25" s="397"/>
      <c r="V25" s="508">
        <f>SUM(V26:V28)</f>
        <v>0</v>
      </c>
      <c r="W25" s="424"/>
    </row>
    <row r="26" spans="1:26" s="400" customFormat="1" x14ac:dyDescent="0.25">
      <c r="A26" s="690" t="s">
        <v>512</v>
      </c>
      <c r="B26" s="691" t="s">
        <v>513</v>
      </c>
      <c r="C26" s="437">
        <f>D26+E26</f>
        <v>50632.23</v>
      </c>
      <c r="D26" s="716">
        <v>34204.230000000003</v>
      </c>
      <c r="E26" s="717">
        <v>16428</v>
      </c>
      <c r="F26" s="718">
        <v>740779</v>
      </c>
      <c r="G26" s="693">
        <v>103175.03999999999</v>
      </c>
      <c r="H26" s="434"/>
      <c r="I26" s="438"/>
      <c r="J26" s="433">
        <f>F26+G26+C26</f>
        <v>894586.27</v>
      </c>
      <c r="K26" s="434">
        <f>F26+D26</f>
        <v>774983.23</v>
      </c>
      <c r="L26" s="434"/>
      <c r="M26" s="483">
        <f>J26+L26</f>
        <v>894586.27</v>
      </c>
      <c r="N26" s="694">
        <f>O26+P26</f>
        <v>774983.23</v>
      </c>
      <c r="O26" s="695">
        <f>K26</f>
        <v>774983.23</v>
      </c>
      <c r="P26" s="488"/>
      <c r="Q26" s="697"/>
      <c r="R26" s="698">
        <v>103175.03999999999</v>
      </c>
      <c r="S26" s="699"/>
      <c r="T26" s="719"/>
      <c r="U26" s="720"/>
      <c r="V26" s="721"/>
      <c r="W26" s="424"/>
    </row>
    <row r="27" spans="1:26" s="400" customFormat="1" x14ac:dyDescent="0.25">
      <c r="A27" s="701" t="s">
        <v>514</v>
      </c>
      <c r="B27" s="702" t="s">
        <v>515</v>
      </c>
      <c r="C27" s="431">
        <f>D27+E27</f>
        <v>20288.32</v>
      </c>
      <c r="D27" s="722">
        <v>11433.32</v>
      </c>
      <c r="E27" s="430">
        <f>3053+5802</f>
        <v>8855</v>
      </c>
      <c r="F27" s="431">
        <v>267780</v>
      </c>
      <c r="G27" s="435">
        <v>115894.78</v>
      </c>
      <c r="H27" s="435"/>
      <c r="I27" s="441"/>
      <c r="J27" s="430">
        <f>C27+F27+G27</f>
        <v>403963.1</v>
      </c>
      <c r="K27" s="434">
        <f>F27+D27</f>
        <v>279213.32</v>
      </c>
      <c r="L27" s="435"/>
      <c r="M27" s="489">
        <f>J27+L27</f>
        <v>403963.1</v>
      </c>
      <c r="N27" s="704">
        <f>O27+P27</f>
        <v>279213.32</v>
      </c>
      <c r="O27" s="695">
        <f>K27</f>
        <v>279213.32</v>
      </c>
      <c r="P27" s="484"/>
      <c r="Q27" s="707"/>
      <c r="R27" s="698">
        <v>73584.78</v>
      </c>
      <c r="S27" s="699">
        <v>42310</v>
      </c>
      <c r="T27" s="602"/>
      <c r="U27" s="723"/>
      <c r="V27" s="724"/>
      <c r="W27" s="424"/>
    </row>
    <row r="28" spans="1:26" s="400" customFormat="1" ht="15.75" thickBot="1" x14ac:dyDescent="0.3">
      <c r="A28" s="690"/>
      <c r="B28" s="691" t="s">
        <v>516</v>
      </c>
      <c r="C28" s="437">
        <f>E28</f>
        <v>0</v>
      </c>
      <c r="D28" s="433"/>
      <c r="E28" s="434"/>
      <c r="F28" s="437"/>
      <c r="G28" s="433"/>
      <c r="H28" s="434"/>
      <c r="I28" s="438"/>
      <c r="J28" s="433">
        <f>C28+F28+G28</f>
        <v>0</v>
      </c>
      <c r="K28" s="434"/>
      <c r="L28" s="434"/>
      <c r="M28" s="483">
        <f>J28+L28</f>
        <v>0</v>
      </c>
      <c r="N28" s="694"/>
      <c r="O28" s="695"/>
      <c r="P28" s="488"/>
      <c r="Q28" s="470"/>
      <c r="R28" s="725"/>
      <c r="S28" s="726"/>
      <c r="T28" s="727"/>
      <c r="U28" s="728"/>
      <c r="V28" s="729"/>
      <c r="W28" s="424"/>
    </row>
    <row r="29" spans="1:26" s="400" customFormat="1" ht="15.75" thickBot="1" x14ac:dyDescent="0.3">
      <c r="A29" s="373" t="s">
        <v>517</v>
      </c>
      <c r="B29" s="408" t="s">
        <v>518</v>
      </c>
      <c r="C29" s="490"/>
      <c r="D29" s="491"/>
      <c r="E29" s="492">
        <f>E30+E31+E32+E33+E34+E37+E39+E41+E42+E45+E46+E51+E52+E35+E36+E47+E48+E49+E50+E40+E38+E43</f>
        <v>1250601.54</v>
      </c>
      <c r="F29" s="490"/>
      <c r="G29" s="491"/>
      <c r="H29" s="492"/>
      <c r="I29" s="579"/>
      <c r="J29" s="491"/>
      <c r="K29" s="492"/>
      <c r="L29" s="492"/>
      <c r="M29" s="493"/>
      <c r="N29" s="479">
        <f>N30+N31+N32+N33+N34+N37+N39+N41+N42+N45+N46+N51+N52+N35+N36+N47</f>
        <v>968046.14</v>
      </c>
      <c r="O29" s="480">
        <f>O30+O31+O32+O33+O34+O37+O39+O41+O42+O45+O46+O51+O52+O35+O36+O47+O48+O49+O50+O40+O38+O43</f>
        <v>1250601.54</v>
      </c>
      <c r="P29" s="494"/>
      <c r="Q29" s="603"/>
      <c r="R29" s="604"/>
      <c r="S29" s="605"/>
      <c r="T29" s="606"/>
      <c r="U29" s="607"/>
      <c r="V29" s="474"/>
      <c r="W29" s="424"/>
    </row>
    <row r="30" spans="1:26" s="400" customFormat="1" x14ac:dyDescent="0.25">
      <c r="A30" s="374"/>
      <c r="B30" s="631" t="s">
        <v>690</v>
      </c>
      <c r="C30" s="437"/>
      <c r="D30" s="433"/>
      <c r="E30" s="635">
        <v>41334.14</v>
      </c>
      <c r="F30" s="437"/>
      <c r="G30" s="433"/>
      <c r="H30" s="434"/>
      <c r="I30" s="438"/>
      <c r="J30" s="433"/>
      <c r="K30" s="434"/>
      <c r="L30" s="434"/>
      <c r="M30" s="483"/>
      <c r="N30" s="495">
        <f t="shared" ref="N30:N53" si="16">SUM(O30:P30)</f>
        <v>41334.14</v>
      </c>
      <c r="O30" s="496">
        <f t="shared" ref="O30:O38" si="17">E30</f>
        <v>41334.14</v>
      </c>
      <c r="P30" s="488"/>
      <c r="Q30" s="470"/>
      <c r="R30" s="471"/>
      <c r="S30" s="472"/>
      <c r="T30" s="497"/>
      <c r="U30" s="498"/>
      <c r="V30" s="498"/>
      <c r="W30" s="424"/>
    </row>
    <row r="31" spans="1:26" s="400" customFormat="1" x14ac:dyDescent="0.25">
      <c r="A31" s="375"/>
      <c r="B31" s="632" t="s">
        <v>519</v>
      </c>
      <c r="C31" s="431"/>
      <c r="D31" s="430"/>
      <c r="E31" s="636"/>
      <c r="F31" s="431"/>
      <c r="G31" s="430"/>
      <c r="H31" s="435"/>
      <c r="I31" s="441"/>
      <c r="J31" s="430"/>
      <c r="K31" s="435"/>
      <c r="L31" s="435"/>
      <c r="M31" s="489"/>
      <c r="N31" s="495">
        <f t="shared" si="16"/>
        <v>0</v>
      </c>
      <c r="O31" s="496">
        <f t="shared" si="17"/>
        <v>0</v>
      </c>
      <c r="P31" s="484"/>
      <c r="Q31" s="470"/>
      <c r="R31" s="471"/>
      <c r="S31" s="472"/>
      <c r="T31" s="499"/>
      <c r="U31" s="500"/>
      <c r="V31" s="500"/>
      <c r="W31" s="424"/>
    </row>
    <row r="32" spans="1:26" s="400" customFormat="1" x14ac:dyDescent="0.25">
      <c r="A32" s="375"/>
      <c r="B32" s="632" t="s">
        <v>691</v>
      </c>
      <c r="C32" s="431"/>
      <c r="D32" s="430"/>
      <c r="E32" s="636">
        <v>43834</v>
      </c>
      <c r="F32" s="431"/>
      <c r="G32" s="430"/>
      <c r="H32" s="435"/>
      <c r="I32" s="441"/>
      <c r="J32" s="430"/>
      <c r="K32" s="435"/>
      <c r="L32" s="435"/>
      <c r="M32" s="489"/>
      <c r="N32" s="495">
        <f t="shared" si="16"/>
        <v>43834</v>
      </c>
      <c r="O32" s="496">
        <f t="shared" si="17"/>
        <v>43834</v>
      </c>
      <c r="P32" s="484"/>
      <c r="Q32" s="470"/>
      <c r="R32" s="471"/>
      <c r="S32" s="472"/>
      <c r="T32" s="499"/>
      <c r="U32" s="500"/>
      <c r="V32" s="500"/>
      <c r="W32" s="424"/>
    </row>
    <row r="33" spans="1:23" s="400" customFormat="1" x14ac:dyDescent="0.25">
      <c r="A33" s="375"/>
      <c r="B33" s="632" t="s">
        <v>607</v>
      </c>
      <c r="C33" s="431"/>
      <c r="D33" s="430"/>
      <c r="E33" s="636"/>
      <c r="F33" s="431"/>
      <c r="G33" s="430"/>
      <c r="H33" s="435"/>
      <c r="I33" s="441"/>
      <c r="J33" s="430"/>
      <c r="K33" s="435"/>
      <c r="L33" s="435"/>
      <c r="M33" s="489"/>
      <c r="N33" s="495">
        <f t="shared" si="16"/>
        <v>0</v>
      </c>
      <c r="O33" s="496">
        <f t="shared" si="17"/>
        <v>0</v>
      </c>
      <c r="P33" s="484"/>
      <c r="Q33" s="470"/>
      <c r="R33" s="471"/>
      <c r="S33" s="472"/>
      <c r="T33" s="499"/>
      <c r="U33" s="500"/>
      <c r="V33" s="500"/>
      <c r="W33" s="424"/>
    </row>
    <row r="34" spans="1:23" s="400" customFormat="1" x14ac:dyDescent="0.25">
      <c r="A34" s="375"/>
      <c r="B34" s="632" t="s">
        <v>687</v>
      </c>
      <c r="C34" s="431"/>
      <c r="D34" s="430"/>
      <c r="E34" s="636">
        <v>53089</v>
      </c>
      <c r="F34" s="431"/>
      <c r="G34" s="430"/>
      <c r="H34" s="435"/>
      <c r="I34" s="441"/>
      <c r="J34" s="430"/>
      <c r="K34" s="435"/>
      <c r="L34" s="435"/>
      <c r="M34" s="489"/>
      <c r="N34" s="495">
        <f t="shared" si="16"/>
        <v>53089</v>
      </c>
      <c r="O34" s="496">
        <f t="shared" si="17"/>
        <v>53089</v>
      </c>
      <c r="P34" s="484"/>
      <c r="Q34" s="470"/>
      <c r="R34" s="471"/>
      <c r="S34" s="472"/>
      <c r="T34" s="499"/>
      <c r="U34" s="500"/>
      <c r="V34" s="500"/>
      <c r="W34" s="424"/>
    </row>
    <row r="35" spans="1:23" s="400" customFormat="1" x14ac:dyDescent="0.25">
      <c r="A35" s="375"/>
      <c r="B35" s="632" t="s">
        <v>692</v>
      </c>
      <c r="C35" s="431"/>
      <c r="D35" s="430"/>
      <c r="E35" s="636"/>
      <c r="F35" s="431"/>
      <c r="G35" s="430"/>
      <c r="H35" s="435"/>
      <c r="I35" s="441"/>
      <c r="J35" s="430"/>
      <c r="K35" s="435"/>
      <c r="L35" s="435"/>
      <c r="M35" s="489"/>
      <c r="N35" s="495">
        <f t="shared" si="16"/>
        <v>0</v>
      </c>
      <c r="O35" s="496">
        <f t="shared" si="17"/>
        <v>0</v>
      </c>
      <c r="P35" s="484"/>
      <c r="Q35" s="470"/>
      <c r="R35" s="471"/>
      <c r="S35" s="472"/>
      <c r="T35" s="499"/>
      <c r="U35" s="500"/>
      <c r="V35" s="500"/>
      <c r="W35" s="424"/>
    </row>
    <row r="36" spans="1:23" s="400" customFormat="1" x14ac:dyDescent="0.25">
      <c r="A36" s="375"/>
      <c r="B36" s="632" t="s">
        <v>688</v>
      </c>
      <c r="C36" s="431"/>
      <c r="D36" s="430"/>
      <c r="E36" s="636">
        <v>45</v>
      </c>
      <c r="F36" s="431"/>
      <c r="G36" s="430"/>
      <c r="H36" s="435"/>
      <c r="I36" s="441"/>
      <c r="J36" s="430"/>
      <c r="K36" s="435"/>
      <c r="L36" s="435"/>
      <c r="M36" s="489"/>
      <c r="N36" s="495">
        <f t="shared" si="16"/>
        <v>45</v>
      </c>
      <c r="O36" s="496">
        <f t="shared" si="17"/>
        <v>45</v>
      </c>
      <c r="P36" s="484"/>
      <c r="Q36" s="470"/>
      <c r="R36" s="471"/>
      <c r="S36" s="472"/>
      <c r="T36" s="499"/>
      <c r="U36" s="500"/>
      <c r="V36" s="500"/>
      <c r="W36" s="424"/>
    </row>
    <row r="37" spans="1:23" s="400" customFormat="1" x14ac:dyDescent="0.25">
      <c r="A37" s="375"/>
      <c r="B37" s="632" t="s">
        <v>693</v>
      </c>
      <c r="C37" s="431"/>
      <c r="D37" s="430"/>
      <c r="E37" s="636">
        <v>1225</v>
      </c>
      <c r="F37" s="431"/>
      <c r="G37" s="430"/>
      <c r="H37" s="435"/>
      <c r="I37" s="441"/>
      <c r="J37" s="430"/>
      <c r="K37" s="435"/>
      <c r="L37" s="435"/>
      <c r="M37" s="489"/>
      <c r="N37" s="495">
        <f t="shared" si="16"/>
        <v>1225</v>
      </c>
      <c r="O37" s="496">
        <f t="shared" si="17"/>
        <v>1225</v>
      </c>
      <c r="P37" s="484"/>
      <c r="Q37" s="470"/>
      <c r="R37" s="471"/>
      <c r="S37" s="472"/>
      <c r="T37" s="499"/>
      <c r="U37" s="500"/>
      <c r="V37" s="500"/>
      <c r="W37" s="424"/>
    </row>
    <row r="38" spans="1:23" s="400" customFormat="1" x14ac:dyDescent="0.25">
      <c r="A38" s="375"/>
      <c r="B38" s="632" t="s">
        <v>520</v>
      </c>
      <c r="C38" s="431"/>
      <c r="D38" s="430"/>
      <c r="E38" s="636">
        <v>12417</v>
      </c>
      <c r="F38" s="431"/>
      <c r="G38" s="430"/>
      <c r="H38" s="435"/>
      <c r="I38" s="441"/>
      <c r="J38" s="430"/>
      <c r="K38" s="435"/>
      <c r="L38" s="435"/>
      <c r="M38" s="489"/>
      <c r="N38" s="495"/>
      <c r="O38" s="496">
        <f t="shared" si="17"/>
        <v>12417</v>
      </c>
      <c r="P38" s="484"/>
      <c r="Q38" s="470"/>
      <c r="R38" s="471"/>
      <c r="S38" s="472"/>
      <c r="T38" s="499"/>
      <c r="U38" s="500"/>
      <c r="V38" s="500"/>
      <c r="W38" s="424"/>
    </row>
    <row r="39" spans="1:23" s="400" customFormat="1" x14ac:dyDescent="0.25">
      <c r="A39" s="375"/>
      <c r="B39" s="632" t="s">
        <v>694</v>
      </c>
      <c r="C39" s="431"/>
      <c r="D39" s="430"/>
      <c r="E39" s="636"/>
      <c r="F39" s="431"/>
      <c r="G39" s="430"/>
      <c r="H39" s="435"/>
      <c r="I39" s="441"/>
      <c r="J39" s="430"/>
      <c r="K39" s="435"/>
      <c r="L39" s="435"/>
      <c r="M39" s="489"/>
      <c r="N39" s="495">
        <f t="shared" si="16"/>
        <v>0</v>
      </c>
      <c r="O39" s="496">
        <f>E39-E28</f>
        <v>0</v>
      </c>
      <c r="P39" s="484"/>
      <c r="Q39" s="470"/>
      <c r="R39" s="471"/>
      <c r="S39" s="472"/>
      <c r="T39" s="499"/>
      <c r="U39" s="500"/>
      <c r="V39" s="500"/>
      <c r="W39" s="424"/>
    </row>
    <row r="40" spans="1:23" s="400" customFormat="1" x14ac:dyDescent="0.25">
      <c r="A40" s="375"/>
      <c r="B40" s="632" t="s">
        <v>569</v>
      </c>
      <c r="C40" s="431"/>
      <c r="D40" s="430"/>
      <c r="E40" s="636">
        <v>63013</v>
      </c>
      <c r="F40" s="431"/>
      <c r="G40" s="430"/>
      <c r="H40" s="435"/>
      <c r="I40" s="441"/>
      <c r="J40" s="430"/>
      <c r="K40" s="435"/>
      <c r="L40" s="435"/>
      <c r="M40" s="489"/>
      <c r="N40" s="495"/>
      <c r="O40" s="496">
        <f t="shared" ref="O40:O52" si="18">E40</f>
        <v>63013</v>
      </c>
      <c r="P40" s="484"/>
      <c r="Q40" s="470"/>
      <c r="R40" s="471"/>
      <c r="S40" s="472"/>
      <c r="T40" s="499"/>
      <c r="U40" s="500"/>
      <c r="V40" s="500"/>
      <c r="W40" s="424"/>
    </row>
    <row r="41" spans="1:23" s="400" customFormat="1" x14ac:dyDescent="0.25">
      <c r="A41" s="375"/>
      <c r="B41" s="632" t="s">
        <v>695</v>
      </c>
      <c r="C41" s="431"/>
      <c r="D41" s="430"/>
      <c r="E41" s="636">
        <v>25950</v>
      </c>
      <c r="F41" s="431"/>
      <c r="G41" s="430"/>
      <c r="H41" s="435"/>
      <c r="I41" s="441"/>
      <c r="J41" s="430"/>
      <c r="K41" s="435"/>
      <c r="L41" s="435"/>
      <c r="M41" s="489"/>
      <c r="N41" s="495">
        <f t="shared" si="16"/>
        <v>25950</v>
      </c>
      <c r="O41" s="496">
        <f t="shared" si="18"/>
        <v>25950</v>
      </c>
      <c r="P41" s="484"/>
      <c r="Q41" s="470"/>
      <c r="R41" s="471"/>
      <c r="S41" s="472"/>
      <c r="T41" s="499"/>
      <c r="U41" s="500"/>
      <c r="V41" s="500"/>
      <c r="W41" s="424"/>
    </row>
    <row r="42" spans="1:23" s="400" customFormat="1" x14ac:dyDescent="0.25">
      <c r="A42" s="375"/>
      <c r="B42" s="632" t="s">
        <v>696</v>
      </c>
      <c r="C42" s="431"/>
      <c r="D42" s="430"/>
      <c r="E42" s="636">
        <v>21900</v>
      </c>
      <c r="F42" s="431"/>
      <c r="G42" s="430"/>
      <c r="H42" s="435"/>
      <c r="I42" s="441"/>
      <c r="J42" s="430"/>
      <c r="K42" s="435"/>
      <c r="L42" s="435"/>
      <c r="M42" s="489"/>
      <c r="N42" s="495">
        <f t="shared" si="16"/>
        <v>21900</v>
      </c>
      <c r="O42" s="496">
        <f t="shared" si="18"/>
        <v>21900</v>
      </c>
      <c r="P42" s="484"/>
      <c r="Q42" s="470"/>
      <c r="R42" s="471"/>
      <c r="S42" s="472"/>
      <c r="T42" s="499"/>
      <c r="U42" s="500"/>
      <c r="V42" s="500"/>
      <c r="W42" s="424"/>
    </row>
    <row r="43" spans="1:23" s="400" customFormat="1" x14ac:dyDescent="0.25">
      <c r="A43" s="375"/>
      <c r="B43" s="632" t="s">
        <v>649</v>
      </c>
      <c r="C43" s="431"/>
      <c r="D43" s="430"/>
      <c r="E43" s="636">
        <v>750</v>
      </c>
      <c r="F43" s="431"/>
      <c r="G43" s="430"/>
      <c r="H43" s="435"/>
      <c r="I43" s="441"/>
      <c r="J43" s="430"/>
      <c r="K43" s="435"/>
      <c r="L43" s="435"/>
      <c r="M43" s="489"/>
      <c r="N43" s="495"/>
      <c r="O43" s="496">
        <f t="shared" si="18"/>
        <v>750</v>
      </c>
      <c r="P43" s="484"/>
      <c r="Q43" s="470"/>
      <c r="R43" s="471"/>
      <c r="S43" s="472"/>
      <c r="T43" s="499"/>
      <c r="U43" s="500"/>
      <c r="V43" s="500"/>
      <c r="W43" s="424"/>
    </row>
    <row r="44" spans="1:23" s="400" customFormat="1" x14ac:dyDescent="0.25">
      <c r="A44" s="375"/>
      <c r="B44" s="632" t="s">
        <v>648</v>
      </c>
      <c r="C44" s="431"/>
      <c r="D44" s="430"/>
      <c r="E44" s="636"/>
      <c r="F44" s="431"/>
      <c r="G44" s="430"/>
      <c r="H44" s="435"/>
      <c r="I44" s="441"/>
      <c r="J44" s="430"/>
      <c r="K44" s="435"/>
      <c r="L44" s="435"/>
      <c r="M44" s="489"/>
      <c r="N44" s="495"/>
      <c r="O44" s="496"/>
      <c r="P44" s="484"/>
      <c r="Q44" s="470"/>
      <c r="R44" s="471"/>
      <c r="S44" s="472"/>
      <c r="T44" s="499"/>
      <c r="U44" s="500"/>
      <c r="V44" s="500"/>
      <c r="W44" s="424"/>
    </row>
    <row r="45" spans="1:23" s="400" customFormat="1" x14ac:dyDescent="0.25">
      <c r="A45" s="375"/>
      <c r="B45" s="632" t="s">
        <v>697</v>
      </c>
      <c r="C45" s="431"/>
      <c r="D45" s="430"/>
      <c r="E45" s="636">
        <v>95280</v>
      </c>
      <c r="F45" s="431"/>
      <c r="G45" s="430"/>
      <c r="H45" s="435"/>
      <c r="I45" s="441"/>
      <c r="J45" s="430"/>
      <c r="K45" s="435"/>
      <c r="L45" s="435"/>
      <c r="M45" s="489"/>
      <c r="N45" s="495">
        <f t="shared" si="16"/>
        <v>95280</v>
      </c>
      <c r="O45" s="496">
        <f t="shared" si="18"/>
        <v>95280</v>
      </c>
      <c r="P45" s="484"/>
      <c r="Q45" s="470"/>
      <c r="R45" s="471"/>
      <c r="S45" s="472"/>
      <c r="T45" s="499"/>
      <c r="U45" s="500"/>
      <c r="V45" s="500"/>
      <c r="W45" s="424"/>
    </row>
    <row r="46" spans="1:23" s="400" customFormat="1" x14ac:dyDescent="0.25">
      <c r="A46" s="376"/>
      <c r="B46" s="632" t="s">
        <v>645</v>
      </c>
      <c r="C46" s="440"/>
      <c r="D46" s="439"/>
      <c r="E46" s="636">
        <v>108427</v>
      </c>
      <c r="F46" s="440"/>
      <c r="G46" s="439"/>
      <c r="H46" s="432"/>
      <c r="I46" s="577"/>
      <c r="J46" s="439"/>
      <c r="K46" s="432"/>
      <c r="L46" s="432"/>
      <c r="M46" s="501"/>
      <c r="N46" s="495">
        <f>SUM(O46:P46)</f>
        <v>108427</v>
      </c>
      <c r="O46" s="496">
        <f t="shared" si="18"/>
        <v>108427</v>
      </c>
      <c r="P46" s="484"/>
      <c r="Q46" s="470"/>
      <c r="R46" s="471"/>
      <c r="S46" s="472"/>
      <c r="T46" s="499"/>
      <c r="U46" s="500"/>
      <c r="V46" s="500"/>
      <c r="W46" s="424"/>
    </row>
    <row r="47" spans="1:23" s="400" customFormat="1" x14ac:dyDescent="0.25">
      <c r="A47" s="376"/>
      <c r="B47" s="632" t="s">
        <v>644</v>
      </c>
      <c r="C47" s="440"/>
      <c r="D47" s="439"/>
      <c r="E47" s="636">
        <v>576962</v>
      </c>
      <c r="F47" s="440"/>
      <c r="G47" s="439"/>
      <c r="H47" s="432"/>
      <c r="I47" s="577"/>
      <c r="J47" s="439"/>
      <c r="K47" s="432"/>
      <c r="L47" s="432"/>
      <c r="M47" s="501"/>
      <c r="N47" s="495">
        <f>SUM(O47:P47)</f>
        <v>576962</v>
      </c>
      <c r="O47" s="496">
        <f t="shared" si="18"/>
        <v>576962</v>
      </c>
      <c r="P47" s="484"/>
      <c r="Q47" s="470"/>
      <c r="R47" s="471"/>
      <c r="S47" s="472"/>
      <c r="T47" s="499"/>
      <c r="U47" s="500"/>
      <c r="V47" s="500"/>
      <c r="W47" s="424"/>
    </row>
    <row r="48" spans="1:23" s="400" customFormat="1" x14ac:dyDescent="0.25">
      <c r="A48" s="376"/>
      <c r="B48" s="632" t="s">
        <v>698</v>
      </c>
      <c r="C48" s="440"/>
      <c r="D48" s="439"/>
      <c r="E48" s="636">
        <v>170627</v>
      </c>
      <c r="F48" s="440"/>
      <c r="G48" s="439"/>
      <c r="H48" s="432"/>
      <c r="I48" s="577"/>
      <c r="J48" s="439"/>
      <c r="K48" s="432"/>
      <c r="L48" s="432"/>
      <c r="M48" s="501"/>
      <c r="N48" s="495"/>
      <c r="O48" s="496">
        <f t="shared" si="18"/>
        <v>170627</v>
      </c>
      <c r="P48" s="484"/>
      <c r="Q48" s="470"/>
      <c r="R48" s="471"/>
      <c r="S48" s="472"/>
      <c r="T48" s="499"/>
      <c r="U48" s="500"/>
      <c r="V48" s="500"/>
      <c r="W48" s="424"/>
    </row>
    <row r="49" spans="1:23" s="400" customFormat="1" x14ac:dyDescent="0.25">
      <c r="A49" s="376"/>
      <c r="B49" s="632" t="s">
        <v>699</v>
      </c>
      <c r="C49" s="440"/>
      <c r="D49" s="439"/>
      <c r="E49" s="636">
        <v>398.4</v>
      </c>
      <c r="F49" s="440"/>
      <c r="G49" s="439"/>
      <c r="H49" s="432"/>
      <c r="I49" s="577"/>
      <c r="J49" s="439"/>
      <c r="K49" s="432"/>
      <c r="L49" s="432"/>
      <c r="M49" s="501"/>
      <c r="N49" s="495"/>
      <c r="O49" s="496">
        <f t="shared" si="18"/>
        <v>398.4</v>
      </c>
      <c r="P49" s="484"/>
      <c r="Q49" s="470"/>
      <c r="R49" s="471"/>
      <c r="S49" s="472"/>
      <c r="T49" s="499"/>
      <c r="U49" s="500"/>
      <c r="V49" s="500"/>
      <c r="W49" s="424"/>
    </row>
    <row r="50" spans="1:23" s="400" customFormat="1" x14ac:dyDescent="0.25">
      <c r="A50" s="376"/>
      <c r="B50" s="633" t="s">
        <v>668</v>
      </c>
      <c r="C50" s="440"/>
      <c r="D50" s="439"/>
      <c r="E50" s="637">
        <v>35350</v>
      </c>
      <c r="F50" s="440"/>
      <c r="G50" s="439"/>
      <c r="H50" s="432"/>
      <c r="I50" s="577"/>
      <c r="J50" s="439"/>
      <c r="K50" s="432"/>
      <c r="L50" s="432"/>
      <c r="M50" s="501"/>
      <c r="N50" s="495"/>
      <c r="O50" s="496">
        <f t="shared" si="18"/>
        <v>35350</v>
      </c>
      <c r="P50" s="484"/>
      <c r="Q50" s="470"/>
      <c r="R50" s="471"/>
      <c r="S50" s="472"/>
      <c r="T50" s="499"/>
      <c r="U50" s="500"/>
      <c r="V50" s="500"/>
      <c r="W50" s="424"/>
    </row>
    <row r="51" spans="1:23" s="400" customFormat="1" x14ac:dyDescent="0.25">
      <c r="A51" s="376"/>
      <c r="B51" s="633" t="s">
        <v>700</v>
      </c>
      <c r="C51" s="440"/>
      <c r="D51" s="439"/>
      <c r="E51" s="637"/>
      <c r="F51" s="440"/>
      <c r="G51" s="439"/>
      <c r="H51" s="432"/>
      <c r="I51" s="577"/>
      <c r="J51" s="439"/>
      <c r="K51" s="432"/>
      <c r="L51" s="432"/>
      <c r="M51" s="501"/>
      <c r="N51" s="495">
        <f>SUM(O51:P51)</f>
        <v>0</v>
      </c>
      <c r="O51" s="496">
        <f t="shared" si="18"/>
        <v>0</v>
      </c>
      <c r="P51" s="484"/>
      <c r="Q51" s="470"/>
      <c r="R51" s="471"/>
      <c r="S51" s="472"/>
      <c r="T51" s="499"/>
      <c r="U51" s="500"/>
      <c r="V51" s="500"/>
      <c r="W51" s="424"/>
    </row>
    <row r="52" spans="1:23" s="400" customFormat="1" ht="15.75" thickBot="1" x14ac:dyDescent="0.3">
      <c r="A52" s="376"/>
      <c r="B52" s="634" t="s">
        <v>701</v>
      </c>
      <c r="C52" s="440"/>
      <c r="D52" s="439"/>
      <c r="E52" s="637"/>
      <c r="F52" s="440"/>
      <c r="G52" s="439"/>
      <c r="H52" s="432"/>
      <c r="I52" s="577"/>
      <c r="J52" s="439"/>
      <c r="K52" s="432"/>
      <c r="L52" s="432"/>
      <c r="M52" s="501"/>
      <c r="N52" s="495">
        <f t="shared" si="16"/>
        <v>0</v>
      </c>
      <c r="O52" s="496">
        <f t="shared" si="18"/>
        <v>0</v>
      </c>
      <c r="P52" s="485"/>
      <c r="Q52" s="470"/>
      <c r="R52" s="471"/>
      <c r="S52" s="472"/>
      <c r="T52" s="499"/>
      <c r="U52" s="500"/>
      <c r="V52" s="500"/>
      <c r="W52" s="424"/>
    </row>
    <row r="53" spans="1:23" s="400" customFormat="1" ht="15.75" thickBot="1" x14ac:dyDescent="0.3">
      <c r="A53" s="398" t="s">
        <v>521</v>
      </c>
      <c r="B53" s="408" t="s">
        <v>542</v>
      </c>
      <c r="C53" s="490"/>
      <c r="D53" s="491"/>
      <c r="E53" s="492"/>
      <c r="F53" s="490"/>
      <c r="G53" s="491">
        <f>G9+G18+G25</f>
        <v>830853.42000000016</v>
      </c>
      <c r="H53" s="492"/>
      <c r="I53" s="579"/>
      <c r="J53" s="491">
        <f>SUM(G53)</f>
        <v>830853.42000000016</v>
      </c>
      <c r="K53" s="492"/>
      <c r="L53" s="492">
        <v>20140.64</v>
      </c>
      <c r="M53" s="493">
        <f>G53+L53</f>
        <v>850994.06000000017</v>
      </c>
      <c r="N53" s="479">
        <f t="shared" si="16"/>
        <v>850994.06000000017</v>
      </c>
      <c r="O53" s="480">
        <f>G53</f>
        <v>830853.42000000016</v>
      </c>
      <c r="P53" s="481">
        <f>L53</f>
        <v>20140.64</v>
      </c>
      <c r="Q53" s="502"/>
      <c r="R53" s="471"/>
      <c r="S53" s="472"/>
      <c r="T53" s="499"/>
      <c r="U53" s="500"/>
      <c r="V53" s="500"/>
      <c r="W53" s="424"/>
    </row>
    <row r="54" spans="1:23" s="400" customFormat="1" ht="15.75" thickBot="1" x14ac:dyDescent="0.3">
      <c r="A54" s="373" t="s">
        <v>522</v>
      </c>
      <c r="B54" s="409" t="s">
        <v>295</v>
      </c>
      <c r="C54" s="490">
        <f>D54+E54</f>
        <v>0</v>
      </c>
      <c r="D54" s="491"/>
      <c r="E54" s="492"/>
      <c r="F54" s="490"/>
      <c r="G54" s="491"/>
      <c r="H54" s="492"/>
      <c r="I54" s="579">
        <v>78743</v>
      </c>
      <c r="J54" s="491">
        <f>D54+E54+G54+H54+F54+I54</f>
        <v>78743</v>
      </c>
      <c r="K54" s="492"/>
      <c r="L54" s="492"/>
      <c r="M54" s="493">
        <f>D54+E54+G54+H54+F54+L54+I54</f>
        <v>78743</v>
      </c>
      <c r="N54" s="479">
        <v>0</v>
      </c>
      <c r="O54" s="480">
        <v>0</v>
      </c>
      <c r="P54" s="494"/>
      <c r="Q54" s="470"/>
      <c r="R54" s="471"/>
      <c r="S54" s="472"/>
      <c r="T54" s="499"/>
      <c r="U54" s="500"/>
      <c r="V54" s="500"/>
      <c r="W54" s="424"/>
    </row>
    <row r="55" spans="1:23" s="400" customFormat="1" ht="15.75" thickBot="1" x14ac:dyDescent="0.3">
      <c r="A55" s="373" t="s">
        <v>523</v>
      </c>
      <c r="B55" s="409" t="s">
        <v>524</v>
      </c>
      <c r="C55" s="490"/>
      <c r="D55" s="491"/>
      <c r="E55" s="492"/>
      <c r="F55" s="490"/>
      <c r="G55" s="491"/>
      <c r="H55" s="492">
        <f>H9+H18</f>
        <v>358238.38</v>
      </c>
      <c r="I55" s="579">
        <f>I9+I18</f>
        <v>691902.5</v>
      </c>
      <c r="J55" s="491">
        <f>H55+I55</f>
        <v>1050140.8799999999</v>
      </c>
      <c r="K55" s="492"/>
      <c r="L55" s="492"/>
      <c r="M55" s="493">
        <f>H55+I55</f>
        <v>1050140.8799999999</v>
      </c>
      <c r="N55" s="479">
        <f>O55</f>
        <v>1050140.8799999999</v>
      </c>
      <c r="O55" s="480">
        <f>H55+I55</f>
        <v>1050140.8799999999</v>
      </c>
      <c r="P55" s="494"/>
      <c r="Q55" s="503"/>
      <c r="R55" s="471"/>
      <c r="S55" s="472"/>
      <c r="T55" s="499"/>
      <c r="U55" s="500"/>
      <c r="V55" s="500"/>
      <c r="W55" s="424"/>
    </row>
    <row r="56" spans="1:23" s="400" customFormat="1" ht="15.75" thickBot="1" x14ac:dyDescent="0.3">
      <c r="A56" s="839" t="s">
        <v>537</v>
      </c>
      <c r="B56" s="840"/>
      <c r="C56" s="504">
        <f>C9+C18+C25+C54</f>
        <v>10498899.17</v>
      </c>
      <c r="D56" s="505">
        <f>D18+D54</f>
        <v>6916354.5500000007</v>
      </c>
      <c r="E56" s="506">
        <f>E30+E31+E32+E33+E34+E37+E39+E41+E42+E45+E46+E51+E52+E54+E35+E36+E47</f>
        <v>968046.14</v>
      </c>
      <c r="F56" s="504">
        <f>F9+F18+F25+F8+F54</f>
        <v>2354445.7799999998</v>
      </c>
      <c r="G56" s="505">
        <f>G9+G18+G25+G54</f>
        <v>830853.42000000016</v>
      </c>
      <c r="H56" s="506">
        <f>H9+H18+H54</f>
        <v>358238.38</v>
      </c>
      <c r="I56" s="580">
        <f>I9+I18+I54</f>
        <v>770645.5</v>
      </c>
      <c r="J56" s="505">
        <f>J9+J18+J25+J54+J8</f>
        <v>14863714.479999999</v>
      </c>
      <c r="K56" s="506">
        <f>K9+K18+K25</f>
        <v>11647829.860000001</v>
      </c>
      <c r="L56" s="506">
        <f>L9+L18+L25+L54</f>
        <v>949582.21</v>
      </c>
      <c r="M56" s="507">
        <f>M9+M18+M25+M8+M54</f>
        <v>15813296.689999999</v>
      </c>
      <c r="N56" s="508">
        <f>N55+N53+N29+N25+N18+N9</f>
        <v>14893721.710000001</v>
      </c>
      <c r="O56" s="509">
        <f>O55+O53+O29+O25+O18+O9</f>
        <v>14779425.700000001</v>
      </c>
      <c r="P56" s="510">
        <f>P9+P18+P25+P53</f>
        <v>396851.41000000003</v>
      </c>
      <c r="Q56" s="511"/>
      <c r="R56" s="638">
        <f>R9+R18+R25</f>
        <v>659837.34000000008</v>
      </c>
      <c r="S56" s="639">
        <f>S9+S18+S25</f>
        <v>52205</v>
      </c>
      <c r="T56" s="640">
        <f>T25+T18+T9</f>
        <v>369165.37000000005</v>
      </c>
      <c r="U56" s="640">
        <f>U25+U18+U9</f>
        <v>13012</v>
      </c>
      <c r="V56" s="640">
        <f>V25+V18+V9</f>
        <v>35936.329999999994</v>
      </c>
      <c r="W56" s="424"/>
    </row>
    <row r="57" spans="1:23" s="400" customFormat="1" ht="15.75" thickBot="1" x14ac:dyDescent="0.3">
      <c r="A57" s="830" t="s">
        <v>357</v>
      </c>
      <c r="B57" s="831"/>
      <c r="C57" s="608"/>
      <c r="D57" s="609">
        <v>729973.22</v>
      </c>
      <c r="E57" s="610"/>
      <c r="F57" s="608">
        <v>68383.929999999993</v>
      </c>
      <c r="G57" s="609">
        <v>525844.46</v>
      </c>
      <c r="H57" s="610">
        <v>244239.4</v>
      </c>
      <c r="I57" s="611"/>
      <c r="J57" s="609"/>
      <c r="K57" s="610"/>
      <c r="L57" s="610"/>
      <c r="M57" s="612">
        <f>SUM(C57:L57)</f>
        <v>1568441.0099999998</v>
      </c>
      <c r="N57" s="613">
        <f>SUM(O57:P57)</f>
        <v>1568441.0099999998</v>
      </c>
      <c r="O57" s="614">
        <f>D57+F57+G57+H57</f>
        <v>1568441.0099999998</v>
      </c>
      <c r="P57" s="615">
        <f>L57</f>
        <v>0</v>
      </c>
      <c r="Q57" s="616"/>
      <c r="R57" s="643">
        <v>525844.46</v>
      </c>
      <c r="S57" s="644"/>
      <c r="T57" s="645">
        <v>230523.76</v>
      </c>
      <c r="U57" s="641"/>
      <c r="V57" s="640">
        <v>62634.04</v>
      </c>
      <c r="W57" s="424"/>
    </row>
    <row r="58" spans="1:23" s="400" customFormat="1" ht="15.75" thickBot="1" x14ac:dyDescent="0.3">
      <c r="A58" s="830" t="s">
        <v>538</v>
      </c>
      <c r="B58" s="831"/>
      <c r="C58" s="614"/>
      <c r="D58" s="615">
        <v>5758.03</v>
      </c>
      <c r="E58" s="730"/>
      <c r="F58" s="614">
        <v>179241</v>
      </c>
      <c r="G58" s="615">
        <v>12588.74</v>
      </c>
      <c r="H58" s="730"/>
      <c r="I58" s="731"/>
      <c r="J58" s="615"/>
      <c r="K58" s="730"/>
      <c r="L58" s="610"/>
      <c r="M58" s="612">
        <f>SUM(C58:L58)</f>
        <v>197587.77</v>
      </c>
      <c r="N58" s="613">
        <f>SUM(O58:P58)</f>
        <v>197587.77</v>
      </c>
      <c r="O58" s="614">
        <f>F58+G58+D58</f>
        <v>197587.77</v>
      </c>
      <c r="P58" s="615"/>
      <c r="Q58" s="616"/>
      <c r="R58" s="732">
        <v>7588.74</v>
      </c>
      <c r="S58" s="733">
        <v>5000</v>
      </c>
      <c r="T58" s="734"/>
      <c r="U58" s="641"/>
      <c r="V58" s="642"/>
      <c r="W58" s="424"/>
    </row>
    <row r="59" spans="1:23" s="401" customFormat="1" ht="32.25" customHeight="1" thickBot="1" x14ac:dyDescent="0.3">
      <c r="A59" s="832" t="s">
        <v>539</v>
      </c>
      <c r="B59" s="833"/>
      <c r="C59" s="513"/>
      <c r="D59" s="512">
        <f>D56+D57+D58</f>
        <v>7652085.8000000007</v>
      </c>
      <c r="E59" s="514">
        <f t="shared" ref="E59:L59" si="19">E56+E57+E58</f>
        <v>968046.14</v>
      </c>
      <c r="F59" s="513">
        <f t="shared" si="19"/>
        <v>2602070.71</v>
      </c>
      <c r="G59" s="512">
        <f t="shared" si="19"/>
        <v>1369286.62</v>
      </c>
      <c r="H59" s="514">
        <f t="shared" si="19"/>
        <v>602477.78</v>
      </c>
      <c r="I59" s="581">
        <f t="shared" si="19"/>
        <v>770645.5</v>
      </c>
      <c r="J59" s="512">
        <f t="shared" si="19"/>
        <v>14863714.479999999</v>
      </c>
      <c r="K59" s="512">
        <f t="shared" si="19"/>
        <v>11647829.860000001</v>
      </c>
      <c r="L59" s="514">
        <f t="shared" si="19"/>
        <v>949582.21</v>
      </c>
      <c r="M59" s="515">
        <f>M56+M57+M58</f>
        <v>17579325.469999999</v>
      </c>
      <c r="N59" s="516">
        <f>N56+N57+N58</f>
        <v>16659750.49</v>
      </c>
      <c r="O59" s="513">
        <f>O56+O57+O58</f>
        <v>16545454.48</v>
      </c>
      <c r="P59" s="512">
        <f>P56+P57+P58</f>
        <v>396851.41000000003</v>
      </c>
      <c r="Q59" s="517"/>
      <c r="R59" s="834">
        <f>R58+R57+R56+T56+T57+S56+S58+S57</f>
        <v>1850164.6700000002</v>
      </c>
      <c r="S59" s="835"/>
      <c r="T59" s="836"/>
      <c r="U59" s="516">
        <f>U56+U57+U58</f>
        <v>13012</v>
      </c>
      <c r="V59" s="515">
        <f>V56+V57</f>
        <v>98570.37</v>
      </c>
      <c r="W59" s="425"/>
    </row>
    <row r="60" spans="1:23" s="401" customFormat="1" ht="16.5" thickBot="1" x14ac:dyDescent="0.3">
      <c r="A60" s="837" t="s">
        <v>543</v>
      </c>
      <c r="B60" s="838"/>
      <c r="C60" s="513"/>
      <c r="D60" s="512"/>
      <c r="E60" s="514"/>
      <c r="F60" s="513"/>
      <c r="G60" s="512"/>
      <c r="H60" s="514"/>
      <c r="I60" s="581"/>
      <c r="J60" s="512"/>
      <c r="K60" s="512"/>
      <c r="L60" s="514"/>
      <c r="M60" s="515">
        <f>SUM(C60:L60)</f>
        <v>0</v>
      </c>
      <c r="N60" s="516">
        <f>SUM(O60:Q60)</f>
        <v>14829039.23</v>
      </c>
      <c r="O60" s="513">
        <v>10976753.75</v>
      </c>
      <c r="P60" s="512">
        <v>3065746.46</v>
      </c>
      <c r="Q60" s="517">
        <v>786539.02</v>
      </c>
      <c r="R60" s="834">
        <f>30383619.03-3033836.87-729670.84</f>
        <v>26620111.32</v>
      </c>
      <c r="S60" s="835"/>
      <c r="T60" s="836"/>
      <c r="U60" s="516">
        <f>664667.11+2369169.76</f>
        <v>3033836.8699999996</v>
      </c>
      <c r="V60" s="515">
        <f>652634.3+77036.54</f>
        <v>729670.84000000008</v>
      </c>
      <c r="W60" s="425"/>
    </row>
    <row r="61" spans="1:23" s="402" customFormat="1" ht="33.75" customHeight="1" thickBot="1" x14ac:dyDescent="0.35">
      <c r="A61" s="819" t="s">
        <v>544</v>
      </c>
      <c r="B61" s="820"/>
      <c r="C61" s="820"/>
      <c r="D61" s="820"/>
      <c r="E61" s="820"/>
      <c r="F61" s="820"/>
      <c r="G61" s="820"/>
      <c r="H61" s="820"/>
      <c r="I61" s="820"/>
      <c r="J61" s="820"/>
      <c r="K61" s="820"/>
      <c r="L61" s="820"/>
      <c r="M61" s="820"/>
      <c r="N61" s="821"/>
      <c r="O61" s="518">
        <f>O59+O60</f>
        <v>27522208.23</v>
      </c>
      <c r="P61" s="519">
        <f>P59+P60</f>
        <v>3462597.87</v>
      </c>
      <c r="Q61" s="520">
        <f>Q59+Q60</f>
        <v>786539.02</v>
      </c>
      <c r="R61" s="825">
        <f>R59+R60</f>
        <v>28470275.990000002</v>
      </c>
      <c r="S61" s="826"/>
      <c r="T61" s="827"/>
      <c r="U61" s="522">
        <f>U59+U60</f>
        <v>3046848.8699999996</v>
      </c>
      <c r="V61" s="523">
        <f>V59+V60</f>
        <v>828241.21000000008</v>
      </c>
      <c r="W61" s="426"/>
    </row>
    <row r="62" spans="1:23" s="400" customFormat="1" ht="19.5" thickBot="1" x14ac:dyDescent="0.35">
      <c r="A62" s="822"/>
      <c r="B62" s="823"/>
      <c r="C62" s="823"/>
      <c r="D62" s="823"/>
      <c r="E62" s="823"/>
      <c r="F62" s="823"/>
      <c r="G62" s="823"/>
      <c r="H62" s="823"/>
      <c r="I62" s="823"/>
      <c r="J62" s="823"/>
      <c r="K62" s="823"/>
      <c r="L62" s="823"/>
      <c r="M62" s="823"/>
      <c r="N62" s="824"/>
      <c r="O62" s="828">
        <f>SUM(O61:Q61)</f>
        <v>31771345.120000001</v>
      </c>
      <c r="P62" s="826"/>
      <c r="Q62" s="829"/>
      <c r="R62" s="828">
        <f>SUM(R61:V61)</f>
        <v>32345366.070000004</v>
      </c>
      <c r="S62" s="826"/>
      <c r="T62" s="826"/>
      <c r="U62" s="826"/>
      <c r="V62" s="829"/>
      <c r="W62" s="424"/>
    </row>
    <row r="63" spans="1:23" s="400" customFormat="1" ht="15.75" thickBot="1" x14ac:dyDescent="0.3"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816">
        <f>R62-O62</f>
        <v>574020.95000000298</v>
      </c>
      <c r="P63" s="817"/>
      <c r="Q63" s="817"/>
      <c r="R63" s="817"/>
      <c r="S63" s="817"/>
      <c r="T63" s="817"/>
      <c r="U63" s="817"/>
      <c r="V63" s="818"/>
      <c r="W63" s="424"/>
    </row>
    <row r="64" spans="1:23" s="400" customFormat="1" x14ac:dyDescent="0.25"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>
        <f>'sumár '!E5</f>
        <v>27522208.229999997</v>
      </c>
      <c r="P64" s="436">
        <f>'sumár '!E9</f>
        <v>3462597.8699999996</v>
      </c>
      <c r="Q64" s="436">
        <f>'sumár '!E13</f>
        <v>786539.02</v>
      </c>
      <c r="R64" s="857">
        <f>'sumár '!E4</f>
        <v>28470275.990000002</v>
      </c>
      <c r="S64" s="857"/>
      <c r="T64" s="857"/>
      <c r="U64" s="436">
        <f>'sumár '!E8</f>
        <v>3046848.8699999996</v>
      </c>
      <c r="V64" s="436">
        <f>'sumár '!E12</f>
        <v>828241.21000000008</v>
      </c>
      <c r="W64" s="424"/>
    </row>
    <row r="65" spans="3:23" s="400" customFormat="1" x14ac:dyDescent="0.25"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24"/>
      <c r="V65" s="424"/>
      <c r="W65" s="424"/>
    </row>
    <row r="66" spans="3:23" s="400" customFormat="1" x14ac:dyDescent="0.25"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24"/>
      <c r="V66" s="424"/>
      <c r="W66" s="424"/>
    </row>
  </sheetData>
  <mergeCells count="35">
    <mergeCell ref="R64:T64"/>
    <mergeCell ref="K4:K6"/>
    <mergeCell ref="D5:D6"/>
    <mergeCell ref="E5:E6"/>
    <mergeCell ref="A1:V1"/>
    <mergeCell ref="A2:A6"/>
    <mergeCell ref="B2:B6"/>
    <mergeCell ref="C2:K2"/>
    <mergeCell ref="M2:M6"/>
    <mergeCell ref="N2:Q4"/>
    <mergeCell ref="R2:V4"/>
    <mergeCell ref="C3:E3"/>
    <mergeCell ref="F3:H3"/>
    <mergeCell ref="O5:Q5"/>
    <mergeCell ref="R6:T6"/>
    <mergeCell ref="L2:L6"/>
    <mergeCell ref="A56:B56"/>
    <mergeCell ref="I3:I6"/>
    <mergeCell ref="J3:J6"/>
    <mergeCell ref="C4:C6"/>
    <mergeCell ref="D4:E4"/>
    <mergeCell ref="F4:F6"/>
    <mergeCell ref="G4:G6"/>
    <mergeCell ref="H4:H6"/>
    <mergeCell ref="A57:B57"/>
    <mergeCell ref="A58:B58"/>
    <mergeCell ref="A59:B59"/>
    <mergeCell ref="R59:T59"/>
    <mergeCell ref="A60:B60"/>
    <mergeCell ref="R60:T60"/>
    <mergeCell ref="O63:V63"/>
    <mergeCell ref="A61:N62"/>
    <mergeCell ref="R61:T61"/>
    <mergeCell ref="O62:Q62"/>
    <mergeCell ref="R62:V62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úverová zaťaženosť</vt:lpstr>
      <vt:lpstr>Čerpanie celkové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2025-06-04T11:40:20Z</cp:lastPrinted>
  <dcterms:created xsi:type="dcterms:W3CDTF">2013-01-26T12:47:58Z</dcterms:created>
  <dcterms:modified xsi:type="dcterms:W3CDTF">2026-05-28T07:57:13Z</dcterms:modified>
</cp:coreProperties>
</file>