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Rok 2018\Záverečný účet mesta 2018\Materiál\"/>
    </mc:Choice>
  </mc:AlternateContent>
  <bookViews>
    <workbookView xWindow="-1560" yWindow="-30" windowWidth="10785" windowHeight="8055" tabRatio="638" activeTab="8"/>
  </bookViews>
  <sheets>
    <sheet name="príjmy " sheetId="5" r:id="rId1"/>
    <sheet name="výdavky " sheetId="6" r:id="rId2"/>
    <sheet name="sumár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" sheetId="12" r:id="rId7"/>
    <sheet name="úverová zaťaženosť" sheetId="14" r:id="rId8"/>
    <sheet name="rozpočtové organizácie" sheetId="13" r:id="rId9"/>
  </sheets>
  <externalReferences>
    <externalReference r:id="rId10"/>
    <externalReference r:id="rId11"/>
    <externalReference r:id="rId12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'!$2:$3</definedName>
    <definedName name="_xlnm.Print_Titles" localSheetId="1">'výdavky '!$5:$7</definedName>
  </definedNames>
  <calcPr calcId="152511"/>
</workbook>
</file>

<file path=xl/calcChain.xml><?xml version="1.0" encoding="utf-8"?>
<calcChain xmlns="http://schemas.openxmlformats.org/spreadsheetml/2006/main">
  <c r="L11" i="14" l="1"/>
  <c r="K11" i="14"/>
  <c r="K13" i="14" s="1"/>
  <c r="K17" i="14" s="1"/>
  <c r="K16" i="14"/>
  <c r="K12" i="14"/>
  <c r="L27" i="13" l="1"/>
  <c r="L25" i="13" s="1"/>
  <c r="L8" i="13"/>
  <c r="L10" i="13"/>
  <c r="L26" i="13"/>
  <c r="G11" i="14" l="1"/>
  <c r="F11" i="14"/>
  <c r="S48" i="13" l="1"/>
  <c r="S47" i="13"/>
  <c r="S24" i="13"/>
  <c r="C48" i="13"/>
  <c r="C47" i="13"/>
  <c r="O47" i="13"/>
  <c r="Q18" i="13"/>
  <c r="Q10" i="13"/>
  <c r="K10" i="13"/>
  <c r="N36" i="13"/>
  <c r="Q8" i="13" l="1"/>
  <c r="Q49" i="13" s="1"/>
  <c r="E54" i="5"/>
  <c r="I48" i="13" l="1"/>
  <c r="T47" i="13"/>
  <c r="I47" i="13"/>
  <c r="L47" i="13" s="1"/>
  <c r="M45" i="13"/>
  <c r="L45" i="13"/>
  <c r="I45" i="13"/>
  <c r="O44" i="13"/>
  <c r="N43" i="13"/>
  <c r="M43" i="13" s="1"/>
  <c r="N42" i="13"/>
  <c r="M42" i="13" s="1"/>
  <c r="N41" i="13"/>
  <c r="M41" i="13" s="1"/>
  <c r="N40" i="13"/>
  <c r="M40" i="13" s="1"/>
  <c r="N39" i="13"/>
  <c r="M39" i="13" s="1"/>
  <c r="N38" i="13"/>
  <c r="M38" i="13" s="1"/>
  <c r="N37" i="13"/>
  <c r="M37" i="13" s="1"/>
  <c r="M36" i="13"/>
  <c r="N35" i="13"/>
  <c r="M35" i="13" s="1"/>
  <c r="N34" i="13"/>
  <c r="M34" i="13" s="1"/>
  <c r="N33" i="13"/>
  <c r="M33" i="13" s="1"/>
  <c r="N32" i="13"/>
  <c r="M32" i="13" s="1"/>
  <c r="N31" i="13"/>
  <c r="M31" i="13" s="1"/>
  <c r="N30" i="13"/>
  <c r="I29" i="13"/>
  <c r="E29" i="13"/>
  <c r="C28" i="13"/>
  <c r="I28" i="13" s="1"/>
  <c r="L28" i="13" s="1"/>
  <c r="P27" i="13"/>
  <c r="S27" i="13" s="1"/>
  <c r="J27" i="13"/>
  <c r="N27" i="13" s="1"/>
  <c r="M27" i="13" s="1"/>
  <c r="G27" i="13"/>
  <c r="E27" i="13"/>
  <c r="C27" i="13" s="1"/>
  <c r="P26" i="13"/>
  <c r="S26" i="13" s="1"/>
  <c r="O26" i="13"/>
  <c r="O25" i="13" s="1"/>
  <c r="J26" i="13"/>
  <c r="G26" i="13"/>
  <c r="I26" i="13" s="1"/>
  <c r="K25" i="13"/>
  <c r="F25" i="13"/>
  <c r="O24" i="13"/>
  <c r="G24" i="13"/>
  <c r="F24" i="13"/>
  <c r="E24" i="13"/>
  <c r="D24" i="13"/>
  <c r="R23" i="13"/>
  <c r="S23" i="13" s="1"/>
  <c r="K23" i="13"/>
  <c r="H23" i="13"/>
  <c r="F23" i="13"/>
  <c r="E23" i="13"/>
  <c r="D23" i="13"/>
  <c r="R22" i="13"/>
  <c r="P22" i="13"/>
  <c r="O22" i="13"/>
  <c r="H22" i="13"/>
  <c r="G22" i="13"/>
  <c r="F22" i="13"/>
  <c r="E22" i="13"/>
  <c r="D22" i="13"/>
  <c r="R21" i="13"/>
  <c r="S21" i="13" s="1"/>
  <c r="K21" i="13"/>
  <c r="H21" i="13"/>
  <c r="G21" i="13"/>
  <c r="F21" i="13"/>
  <c r="E21" i="13"/>
  <c r="D21" i="13"/>
  <c r="R20" i="13"/>
  <c r="P20" i="13"/>
  <c r="O20" i="13"/>
  <c r="K20" i="13"/>
  <c r="H20" i="13"/>
  <c r="G20" i="13"/>
  <c r="F20" i="13"/>
  <c r="E20" i="13"/>
  <c r="D20" i="13"/>
  <c r="R19" i="13"/>
  <c r="P19" i="13"/>
  <c r="O19" i="13"/>
  <c r="H19" i="13"/>
  <c r="G19" i="13"/>
  <c r="F19" i="13"/>
  <c r="E19" i="13"/>
  <c r="D19" i="13"/>
  <c r="O17" i="13"/>
  <c r="M17" i="13" s="1"/>
  <c r="J17" i="13"/>
  <c r="C17" i="13"/>
  <c r="I17" i="13" s="1"/>
  <c r="L17" i="13" s="1"/>
  <c r="R16" i="13"/>
  <c r="P16" i="13"/>
  <c r="O16" i="13"/>
  <c r="J16" i="13"/>
  <c r="N16" i="13" s="1"/>
  <c r="H16" i="13"/>
  <c r="G16" i="13"/>
  <c r="E16" i="13"/>
  <c r="C16" i="13" s="1"/>
  <c r="R15" i="13"/>
  <c r="P15" i="13"/>
  <c r="O15" i="13"/>
  <c r="J15" i="13"/>
  <c r="N15" i="13" s="1"/>
  <c r="H15" i="13"/>
  <c r="G15" i="13"/>
  <c r="E15" i="13"/>
  <c r="C15" i="13" s="1"/>
  <c r="R14" i="13"/>
  <c r="P14" i="13"/>
  <c r="O14" i="13"/>
  <c r="J14" i="13"/>
  <c r="N14" i="13" s="1"/>
  <c r="H14" i="13"/>
  <c r="G14" i="13"/>
  <c r="E14" i="13"/>
  <c r="C14" i="13" s="1"/>
  <c r="R13" i="13"/>
  <c r="P13" i="13"/>
  <c r="J13" i="13"/>
  <c r="N13" i="13" s="1"/>
  <c r="M13" i="13" s="1"/>
  <c r="H13" i="13"/>
  <c r="G13" i="13"/>
  <c r="E13" i="13"/>
  <c r="C13" i="13" s="1"/>
  <c r="R12" i="13"/>
  <c r="P12" i="13"/>
  <c r="O12" i="13"/>
  <c r="J12" i="13"/>
  <c r="N12" i="13" s="1"/>
  <c r="H12" i="13"/>
  <c r="G12" i="13"/>
  <c r="E12" i="13"/>
  <c r="C12" i="13" s="1"/>
  <c r="R11" i="13"/>
  <c r="P11" i="13"/>
  <c r="O11" i="13"/>
  <c r="H11" i="13"/>
  <c r="G11" i="13"/>
  <c r="F11" i="13"/>
  <c r="E11" i="13"/>
  <c r="C11" i="13" s="1"/>
  <c r="M9" i="13"/>
  <c r="I9" i="13"/>
  <c r="L9" i="13" s="1"/>
  <c r="S12" i="13" l="1"/>
  <c r="M15" i="13"/>
  <c r="S22" i="13"/>
  <c r="C24" i="13"/>
  <c r="J25" i="13"/>
  <c r="R10" i="13"/>
  <c r="R8" i="13" s="1"/>
  <c r="R49" i="13" s="1"/>
  <c r="M12" i="13"/>
  <c r="S14" i="13"/>
  <c r="S15" i="13"/>
  <c r="C22" i="13"/>
  <c r="I22" i="13" s="1"/>
  <c r="L22" i="13" s="1"/>
  <c r="S25" i="13"/>
  <c r="S13" i="13"/>
  <c r="E18" i="13"/>
  <c r="K18" i="13"/>
  <c r="C10" i="13"/>
  <c r="I16" i="13"/>
  <c r="L16" i="13" s="1"/>
  <c r="P18" i="13"/>
  <c r="S19" i="13"/>
  <c r="S11" i="13"/>
  <c r="S16" i="13"/>
  <c r="S20" i="13"/>
  <c r="N48" i="13"/>
  <c r="M48" i="13" s="1"/>
  <c r="L48" i="13"/>
  <c r="O10" i="13"/>
  <c r="P10" i="13"/>
  <c r="T12" i="13"/>
  <c r="T21" i="13"/>
  <c r="T22" i="13"/>
  <c r="R18" i="13"/>
  <c r="P25" i="13"/>
  <c r="N47" i="13"/>
  <c r="M47" i="13" s="1"/>
  <c r="M14" i="13"/>
  <c r="T15" i="13"/>
  <c r="M16" i="13"/>
  <c r="D18" i="13"/>
  <c r="H18" i="13"/>
  <c r="F18" i="13"/>
  <c r="H10" i="13"/>
  <c r="E10" i="13"/>
  <c r="J11" i="13"/>
  <c r="J10" i="13" s="1"/>
  <c r="F10" i="13"/>
  <c r="E25" i="13"/>
  <c r="G25" i="13"/>
  <c r="G10" i="13"/>
  <c r="C23" i="13"/>
  <c r="I23" i="13" s="1"/>
  <c r="L23" i="13" s="1"/>
  <c r="T20" i="13"/>
  <c r="I13" i="13"/>
  <c r="L13" i="13" s="1"/>
  <c r="I14" i="13"/>
  <c r="L14" i="13" s="1"/>
  <c r="I11" i="13"/>
  <c r="T11" i="13"/>
  <c r="T14" i="13"/>
  <c r="T23" i="13"/>
  <c r="J24" i="13"/>
  <c r="T16" i="13"/>
  <c r="O18" i="13"/>
  <c r="I27" i="13"/>
  <c r="N29" i="13"/>
  <c r="J19" i="13"/>
  <c r="N19" i="13"/>
  <c r="K8" i="13"/>
  <c r="K49" i="13" s="1"/>
  <c r="T19" i="13"/>
  <c r="N23" i="13"/>
  <c r="M23" i="13" s="1"/>
  <c r="J23" i="13"/>
  <c r="I12" i="13"/>
  <c r="L12" i="13" s="1"/>
  <c r="C20" i="13"/>
  <c r="I20" i="13" s="1"/>
  <c r="L20" i="13" s="1"/>
  <c r="N20" i="13"/>
  <c r="M20" i="13" s="1"/>
  <c r="J20" i="13"/>
  <c r="C21" i="13"/>
  <c r="I21" i="13" s="1"/>
  <c r="L21" i="13" s="1"/>
  <c r="N21" i="13"/>
  <c r="M21" i="13" s="1"/>
  <c r="J21" i="13"/>
  <c r="N22" i="13"/>
  <c r="M22" i="13" s="1"/>
  <c r="I25" i="13"/>
  <c r="N26" i="13"/>
  <c r="N25" i="13" s="1"/>
  <c r="T13" i="13"/>
  <c r="I15" i="13"/>
  <c r="L15" i="13" s="1"/>
  <c r="C19" i="13"/>
  <c r="G18" i="13"/>
  <c r="J22" i="13"/>
  <c r="I24" i="13"/>
  <c r="L24" i="13" s="1"/>
  <c r="C25" i="13"/>
  <c r="M30" i="13"/>
  <c r="M29" i="13" s="1"/>
  <c r="N24" i="13"/>
  <c r="M24" i="13" s="1"/>
  <c r="P8" i="13" l="1"/>
  <c r="P49" i="13" s="1"/>
  <c r="S10" i="13"/>
  <c r="F8" i="13"/>
  <c r="F49" i="13" s="1"/>
  <c r="S18" i="13"/>
  <c r="G44" i="13"/>
  <c r="N44" i="13" s="1"/>
  <c r="T10" i="13"/>
  <c r="T8" i="13" s="1"/>
  <c r="T49" i="13" s="1"/>
  <c r="E8" i="13"/>
  <c r="E49" i="13" s="1"/>
  <c r="H46" i="13"/>
  <c r="N46" i="13" s="1"/>
  <c r="T18" i="13"/>
  <c r="D8" i="13"/>
  <c r="D49" i="13" s="1"/>
  <c r="I10" i="13"/>
  <c r="L11" i="13"/>
  <c r="G8" i="13"/>
  <c r="G49" i="13" s="1"/>
  <c r="H8" i="13"/>
  <c r="H49" i="13" s="1"/>
  <c r="N11" i="13"/>
  <c r="N10" i="13" s="1"/>
  <c r="N18" i="13"/>
  <c r="O8" i="13"/>
  <c r="O49" i="13" s="1"/>
  <c r="C18" i="13"/>
  <c r="I19" i="13"/>
  <c r="M26" i="13"/>
  <c r="M25" i="13" s="1"/>
  <c r="M19" i="13"/>
  <c r="M18" i="13" s="1"/>
  <c r="J18" i="13"/>
  <c r="S8" i="13" l="1"/>
  <c r="S49" i="13" s="1"/>
  <c r="M44" i="13"/>
  <c r="M11" i="13"/>
  <c r="M10" i="13" s="1"/>
  <c r="N8" i="13"/>
  <c r="M8" i="13" s="1"/>
  <c r="C8" i="13"/>
  <c r="C49" i="13" s="1"/>
  <c r="I18" i="13"/>
  <c r="I8" i="13" s="1"/>
  <c r="I49" i="13" s="1"/>
  <c r="L19" i="13"/>
  <c r="L18" i="13" s="1"/>
  <c r="J8" i="13"/>
  <c r="J49" i="13" s="1"/>
  <c r="M49" i="13" l="1"/>
  <c r="N49" i="13"/>
  <c r="L49" i="13"/>
  <c r="E168" i="5" l="1"/>
  <c r="M29" i="7" l="1"/>
  <c r="M28" i="7"/>
  <c r="L29" i="7"/>
  <c r="L28" i="7"/>
  <c r="E67" i="12" l="1"/>
  <c r="D67" i="12" l="1"/>
  <c r="S121" i="6" l="1"/>
  <c r="R121" i="6"/>
  <c r="Q121" i="6"/>
  <c r="O121" i="6"/>
  <c r="N121" i="6"/>
  <c r="M121" i="6"/>
  <c r="L121" i="6" l="1"/>
  <c r="P121" i="6"/>
  <c r="S131" i="6" l="1"/>
  <c r="R131" i="6"/>
  <c r="N131" i="6"/>
  <c r="O131" i="6"/>
  <c r="K29" i="7" l="1"/>
  <c r="K28" i="7"/>
  <c r="S182" i="6"/>
  <c r="S181" i="6"/>
  <c r="S178" i="6"/>
  <c r="S177" i="6"/>
  <c r="S176" i="6"/>
  <c r="S174" i="6"/>
  <c r="S173" i="6"/>
  <c r="S172" i="6"/>
  <c r="S171" i="6"/>
  <c r="S170" i="6"/>
  <c r="S167" i="6"/>
  <c r="S166" i="6"/>
  <c r="S165" i="6"/>
  <c r="S163" i="6"/>
  <c r="S162" i="6"/>
  <c r="S161" i="6"/>
  <c r="S160" i="6"/>
  <c r="S158" i="6"/>
  <c r="S157" i="6"/>
  <c r="S156" i="6"/>
  <c r="S153" i="6"/>
  <c r="S152" i="6"/>
  <c r="S151" i="6"/>
  <c r="S150" i="6"/>
  <c r="S149" i="6"/>
  <c r="S148" i="6"/>
  <c r="S147" i="6"/>
  <c r="S146" i="6"/>
  <c r="S145" i="6"/>
  <c r="S144" i="6"/>
  <c r="S141" i="6"/>
  <c r="S140" i="6"/>
  <c r="S139" i="6"/>
  <c r="S138" i="6"/>
  <c r="S137" i="6"/>
  <c r="S136" i="6"/>
  <c r="S134" i="6"/>
  <c r="S132" i="6"/>
  <c r="S130" i="6"/>
  <c r="S129" i="6"/>
  <c r="S128" i="6"/>
  <c r="S127" i="6"/>
  <c r="S126" i="6"/>
  <c r="S125" i="6"/>
  <c r="S123" i="6"/>
  <c r="S120" i="6"/>
  <c r="S119" i="6"/>
  <c r="S118" i="6"/>
  <c r="S117" i="6"/>
  <c r="S116" i="6"/>
  <c r="S114" i="6"/>
  <c r="S113" i="6"/>
  <c r="S112" i="6"/>
  <c r="S111" i="6"/>
  <c r="S110" i="6"/>
  <c r="S109" i="6"/>
  <c r="S107" i="6"/>
  <c r="S106" i="6"/>
  <c r="S105" i="6"/>
  <c r="S104" i="6"/>
  <c r="S103" i="6"/>
  <c r="S102" i="6"/>
  <c r="S101" i="6"/>
  <c r="S100" i="6"/>
  <c r="S98" i="6"/>
  <c r="S96" i="6"/>
  <c r="S94" i="6"/>
  <c r="S92" i="6"/>
  <c r="S91" i="6"/>
  <c r="S89" i="6"/>
  <c r="S88" i="6"/>
  <c r="S86" i="6"/>
  <c r="S85" i="6"/>
  <c r="S84" i="6"/>
  <c r="S83" i="6"/>
  <c r="S82" i="6"/>
  <c r="S81" i="6"/>
  <c r="S80" i="6"/>
  <c r="S77" i="6"/>
  <c r="S76" i="6"/>
  <c r="S75" i="6"/>
  <c r="S73" i="6"/>
  <c r="S72" i="6"/>
  <c r="S69" i="6"/>
  <c r="S68" i="6"/>
  <c r="S66" i="6"/>
  <c r="S65" i="6"/>
  <c r="S64" i="6"/>
  <c r="S63" i="6"/>
  <c r="S61" i="6"/>
  <c r="S60" i="6"/>
  <c r="S59" i="6"/>
  <c r="S58" i="6"/>
  <c r="S57" i="6"/>
  <c r="S53" i="6"/>
  <c r="S52" i="6"/>
  <c r="S51" i="6"/>
  <c r="S49" i="6"/>
  <c r="S47" i="6"/>
  <c r="S46" i="6"/>
  <c r="S45" i="6"/>
  <c r="S44" i="6"/>
  <c r="S43" i="6"/>
  <c r="S42" i="6"/>
  <c r="S40" i="6"/>
  <c r="S39" i="6"/>
  <c r="S37" i="6"/>
  <c r="S36" i="6"/>
  <c r="S35" i="6"/>
  <c r="S33" i="6"/>
  <c r="S32" i="6"/>
  <c r="S31" i="6"/>
  <c r="S30" i="6"/>
  <c r="S29" i="6"/>
  <c r="S28" i="6"/>
  <c r="S27" i="6"/>
  <c r="S26" i="6"/>
  <c r="S23" i="6"/>
  <c r="S22" i="6"/>
  <c r="S21" i="6"/>
  <c r="S20" i="6"/>
  <c r="S19" i="6"/>
  <c r="S18" i="6"/>
  <c r="S17" i="6"/>
  <c r="S15" i="6"/>
  <c r="S14" i="6"/>
  <c r="S13" i="6"/>
  <c r="S12" i="6"/>
  <c r="R183" i="6"/>
  <c r="R182" i="6"/>
  <c r="R178" i="6"/>
  <c r="R177" i="6"/>
  <c r="R176" i="6"/>
  <c r="R174" i="6"/>
  <c r="R173" i="6"/>
  <c r="R172" i="6"/>
  <c r="R171" i="6"/>
  <c r="R170" i="6"/>
  <c r="R166" i="6"/>
  <c r="R165" i="6"/>
  <c r="R163" i="6"/>
  <c r="R162" i="6"/>
  <c r="R161" i="6"/>
  <c r="R160" i="6"/>
  <c r="R158" i="6"/>
  <c r="R157" i="6"/>
  <c r="R156" i="6"/>
  <c r="R151" i="6"/>
  <c r="R150" i="6"/>
  <c r="R148" i="6"/>
  <c r="R147" i="6"/>
  <c r="R146" i="6"/>
  <c r="R145" i="6"/>
  <c r="R144" i="6"/>
  <c r="R141" i="6"/>
  <c r="R140" i="6"/>
  <c r="R138" i="6"/>
  <c r="R137" i="6"/>
  <c r="R136" i="6"/>
  <c r="R134" i="6"/>
  <c r="R132" i="6"/>
  <c r="R130" i="6"/>
  <c r="R129" i="6"/>
  <c r="R128" i="6"/>
  <c r="R127" i="6"/>
  <c r="R123" i="6"/>
  <c r="R120" i="6"/>
  <c r="R119" i="6"/>
  <c r="R118" i="6"/>
  <c r="R117" i="6"/>
  <c r="R116" i="6"/>
  <c r="R114" i="6"/>
  <c r="R107" i="6"/>
  <c r="R106" i="6"/>
  <c r="R105" i="6"/>
  <c r="R104" i="6"/>
  <c r="R103" i="6"/>
  <c r="R102" i="6"/>
  <c r="R101" i="6"/>
  <c r="R100" i="6"/>
  <c r="R98" i="6"/>
  <c r="R96" i="6"/>
  <c r="R94" i="6"/>
  <c r="R92" i="6"/>
  <c r="R91" i="6"/>
  <c r="R86" i="6"/>
  <c r="R85" i="6"/>
  <c r="R84" i="6"/>
  <c r="R83" i="6"/>
  <c r="R82" i="6"/>
  <c r="R80" i="6"/>
  <c r="R77" i="6"/>
  <c r="R76" i="6"/>
  <c r="R75" i="6"/>
  <c r="R69" i="6"/>
  <c r="R68" i="6"/>
  <c r="R66" i="6"/>
  <c r="R65" i="6"/>
  <c r="R64" i="6"/>
  <c r="R61" i="6"/>
  <c r="R60" i="6"/>
  <c r="R59" i="6"/>
  <c r="R58" i="6"/>
  <c r="R57" i="6"/>
  <c r="R56" i="6"/>
  <c r="R53" i="6"/>
  <c r="R52" i="6"/>
  <c r="R51" i="6"/>
  <c r="R49" i="6"/>
  <c r="R47" i="6"/>
  <c r="R46" i="6"/>
  <c r="R43" i="6"/>
  <c r="R42" i="6"/>
  <c r="R40" i="6"/>
  <c r="R39" i="6"/>
  <c r="R37" i="6"/>
  <c r="R36" i="6"/>
  <c r="R35" i="6"/>
  <c r="R33" i="6"/>
  <c r="R32" i="6"/>
  <c r="R31" i="6"/>
  <c r="R30" i="6"/>
  <c r="R29" i="6"/>
  <c r="R28" i="6"/>
  <c r="R27" i="6"/>
  <c r="R26" i="6"/>
  <c r="R23" i="6"/>
  <c r="R22" i="6"/>
  <c r="R21" i="6"/>
  <c r="R20" i="6"/>
  <c r="R17" i="6"/>
  <c r="R15" i="6"/>
  <c r="R14" i="6"/>
  <c r="R13" i="6"/>
  <c r="R12" i="6"/>
  <c r="Q182" i="6"/>
  <c r="Q177" i="6"/>
  <c r="Q166" i="6"/>
  <c r="Q162" i="6"/>
  <c r="Q157" i="6"/>
  <c r="Q153" i="6"/>
  <c r="Q148" i="6"/>
  <c r="Q140" i="6"/>
  <c r="Q119" i="6"/>
  <c r="Q117" i="6"/>
  <c r="Q116" i="6"/>
  <c r="Q107" i="6"/>
  <c r="Q106" i="6"/>
  <c r="Q105" i="6"/>
  <c r="Q104" i="6"/>
  <c r="Q103" i="6"/>
  <c r="Q102" i="6"/>
  <c r="Q101" i="6"/>
  <c r="Q100" i="6"/>
  <c r="Q92" i="6"/>
  <c r="Q91" i="6"/>
  <c r="Q81" i="6"/>
  <c r="Q80" i="6"/>
  <c r="Q76" i="6"/>
  <c r="Q75" i="6"/>
  <c r="Q68" i="6"/>
  <c r="Q66" i="6"/>
  <c r="Q63" i="6"/>
  <c r="Q60" i="6"/>
  <c r="Q53" i="6"/>
  <c r="Q52" i="6"/>
  <c r="S124" i="6" l="1"/>
  <c r="S122" i="6" s="1"/>
  <c r="Q32" i="6"/>
  <c r="P32" i="6" s="1"/>
  <c r="Q31" i="6"/>
  <c r="P31" i="6" s="1"/>
  <c r="Q30" i="6"/>
  <c r="P30" i="6" s="1"/>
  <c r="Q29" i="6"/>
  <c r="P29" i="6" s="1"/>
  <c r="Q23" i="6"/>
  <c r="P23" i="6" s="1"/>
  <c r="Q18" i="6"/>
  <c r="O68" i="6"/>
  <c r="O128" i="6"/>
  <c r="O182" i="6"/>
  <c r="O181" i="6"/>
  <c r="O178" i="6"/>
  <c r="O177" i="6"/>
  <c r="O176" i="6"/>
  <c r="O174" i="6"/>
  <c r="O173" i="6"/>
  <c r="O172" i="6"/>
  <c r="O171" i="6"/>
  <c r="O170" i="6"/>
  <c r="O167" i="6"/>
  <c r="O166" i="6"/>
  <c r="O165" i="6"/>
  <c r="O163" i="6"/>
  <c r="O162" i="6"/>
  <c r="O161" i="6"/>
  <c r="O160" i="6"/>
  <c r="O158" i="6"/>
  <c r="O157" i="6"/>
  <c r="O156" i="6"/>
  <c r="O153" i="6"/>
  <c r="O152" i="6"/>
  <c r="O151" i="6"/>
  <c r="O150" i="6"/>
  <c r="O149" i="6"/>
  <c r="O148" i="6"/>
  <c r="O147" i="6"/>
  <c r="O146" i="6"/>
  <c r="O145" i="6"/>
  <c r="O144" i="6"/>
  <c r="O141" i="6"/>
  <c r="O140" i="6"/>
  <c r="O139" i="6"/>
  <c r="O138" i="6"/>
  <c r="O137" i="6"/>
  <c r="O136" i="6"/>
  <c r="O134" i="6"/>
  <c r="O132" i="6"/>
  <c r="O130" i="6"/>
  <c r="O129" i="6"/>
  <c r="O127" i="6"/>
  <c r="O126" i="6"/>
  <c r="O125" i="6"/>
  <c r="O123" i="6"/>
  <c r="O120" i="6"/>
  <c r="O119" i="6"/>
  <c r="O118" i="6"/>
  <c r="O117" i="6"/>
  <c r="O116" i="6"/>
  <c r="O114" i="6"/>
  <c r="O113" i="6"/>
  <c r="O112" i="6"/>
  <c r="O111" i="6"/>
  <c r="O110" i="6"/>
  <c r="O109" i="6"/>
  <c r="O107" i="6"/>
  <c r="O106" i="6"/>
  <c r="O105" i="6"/>
  <c r="O104" i="6"/>
  <c r="O103" i="6"/>
  <c r="O102" i="6"/>
  <c r="O101" i="6"/>
  <c r="O100" i="6"/>
  <c r="O98" i="6"/>
  <c r="O96" i="6"/>
  <c r="O94" i="6"/>
  <c r="O92" i="6"/>
  <c r="O91" i="6"/>
  <c r="O89" i="6"/>
  <c r="O88" i="6"/>
  <c r="O86" i="6"/>
  <c r="O85" i="6"/>
  <c r="O84" i="6"/>
  <c r="O83" i="6"/>
  <c r="O82" i="6"/>
  <c r="O81" i="6"/>
  <c r="O80" i="6"/>
  <c r="O77" i="6"/>
  <c r="O76" i="6"/>
  <c r="O75" i="6"/>
  <c r="O73" i="6"/>
  <c r="O72" i="6"/>
  <c r="O69" i="6"/>
  <c r="O66" i="6"/>
  <c r="O65" i="6"/>
  <c r="O64" i="6"/>
  <c r="O63" i="6"/>
  <c r="O61" i="6"/>
  <c r="O60" i="6"/>
  <c r="O59" i="6"/>
  <c r="O58" i="6"/>
  <c r="O57" i="6"/>
  <c r="O56" i="6"/>
  <c r="O53" i="6"/>
  <c r="O52" i="6"/>
  <c r="O51" i="6"/>
  <c r="O49" i="6"/>
  <c r="O47" i="6"/>
  <c r="O46" i="6"/>
  <c r="O45" i="6"/>
  <c r="O44" i="6"/>
  <c r="O43" i="6"/>
  <c r="O42" i="6"/>
  <c r="O40" i="6"/>
  <c r="O39" i="6"/>
  <c r="O37" i="6"/>
  <c r="O36" i="6"/>
  <c r="O35" i="6"/>
  <c r="O33" i="6"/>
  <c r="O32" i="6"/>
  <c r="O31" i="6"/>
  <c r="O30" i="6"/>
  <c r="O29" i="6"/>
  <c r="O28" i="6"/>
  <c r="O27" i="6"/>
  <c r="O26" i="6"/>
  <c r="O23" i="6"/>
  <c r="O22" i="6"/>
  <c r="O21" i="6"/>
  <c r="O20" i="6"/>
  <c r="O19" i="6"/>
  <c r="O18" i="6"/>
  <c r="O17" i="6"/>
  <c r="O15" i="6"/>
  <c r="O14" i="6"/>
  <c r="O13" i="6"/>
  <c r="O12" i="6"/>
  <c r="N183" i="6"/>
  <c r="N182" i="6"/>
  <c r="N178" i="6"/>
  <c r="N177" i="6"/>
  <c r="N176" i="6"/>
  <c r="N175" i="6" s="1"/>
  <c r="N174" i="6"/>
  <c r="N173" i="6"/>
  <c r="N172" i="6"/>
  <c r="N171" i="6"/>
  <c r="N170" i="6"/>
  <c r="N166" i="6"/>
  <c r="N165" i="6"/>
  <c r="N163" i="6"/>
  <c r="N162" i="6"/>
  <c r="N161" i="6"/>
  <c r="N160" i="6"/>
  <c r="N158" i="6"/>
  <c r="N157" i="6"/>
  <c r="N156" i="6"/>
  <c r="N151" i="6"/>
  <c r="N150" i="6"/>
  <c r="N148" i="6"/>
  <c r="N147" i="6"/>
  <c r="N145" i="6"/>
  <c r="N144" i="6"/>
  <c r="N141" i="6"/>
  <c r="N140" i="6"/>
  <c r="N137" i="6"/>
  <c r="N136" i="6"/>
  <c r="N134" i="6"/>
  <c r="N132" i="6"/>
  <c r="N130" i="6"/>
  <c r="N129" i="6"/>
  <c r="N128" i="6"/>
  <c r="N123" i="6"/>
  <c r="N120" i="6"/>
  <c r="N119" i="6"/>
  <c r="N118" i="6"/>
  <c r="N117" i="6"/>
  <c r="N116" i="6"/>
  <c r="N112" i="6"/>
  <c r="N107" i="6"/>
  <c r="N106" i="6"/>
  <c r="N105" i="6"/>
  <c r="N104" i="6"/>
  <c r="N103" i="6"/>
  <c r="N102" i="6"/>
  <c r="N101" i="6"/>
  <c r="N100" i="6"/>
  <c r="N98" i="6"/>
  <c r="N96" i="6"/>
  <c r="N95" i="6" s="1"/>
  <c r="N94" i="6"/>
  <c r="N92" i="6"/>
  <c r="N91" i="6"/>
  <c r="N86" i="6"/>
  <c r="N85" i="6"/>
  <c r="N84" i="6"/>
  <c r="N83" i="6"/>
  <c r="N82" i="6"/>
  <c r="N80" i="6"/>
  <c r="N77" i="6"/>
  <c r="N76" i="6"/>
  <c r="N75" i="6"/>
  <c r="N73" i="6"/>
  <c r="N69" i="6"/>
  <c r="N68" i="6"/>
  <c r="N66" i="6"/>
  <c r="N65" i="6"/>
  <c r="N64" i="6"/>
  <c r="N60" i="6"/>
  <c r="N59" i="6"/>
  <c r="N58" i="6"/>
  <c r="N53" i="6"/>
  <c r="N52" i="6"/>
  <c r="N51" i="6"/>
  <c r="N49" i="6"/>
  <c r="N47" i="6"/>
  <c r="N46" i="6"/>
  <c r="N43" i="6"/>
  <c r="N42" i="6"/>
  <c r="N40" i="6"/>
  <c r="N37" i="6"/>
  <c r="N36" i="6"/>
  <c r="N35" i="6"/>
  <c r="N33" i="6"/>
  <c r="N32" i="6"/>
  <c r="N31" i="6"/>
  <c r="N30" i="6"/>
  <c r="N29" i="6"/>
  <c r="N28" i="6"/>
  <c r="N27" i="6"/>
  <c r="N26" i="6"/>
  <c r="N23" i="6"/>
  <c r="N22" i="6"/>
  <c r="N21" i="6"/>
  <c r="N20" i="6"/>
  <c r="N17" i="6"/>
  <c r="N15" i="6"/>
  <c r="N14" i="6"/>
  <c r="N13" i="6"/>
  <c r="N12" i="6"/>
  <c r="M170" i="6"/>
  <c r="M182" i="6"/>
  <c r="M177" i="6"/>
  <c r="M174" i="6"/>
  <c r="M172" i="6"/>
  <c r="M166" i="6"/>
  <c r="M165" i="6"/>
  <c r="M163" i="6"/>
  <c r="M162" i="6"/>
  <c r="M161" i="6"/>
  <c r="M160" i="6"/>
  <c r="M157" i="6"/>
  <c r="M156" i="6"/>
  <c r="M153" i="6"/>
  <c r="M150" i="6"/>
  <c r="M145" i="6"/>
  <c r="M141" i="6"/>
  <c r="M140" i="6"/>
  <c r="M132" i="6"/>
  <c r="M119" i="6"/>
  <c r="M117" i="6"/>
  <c r="M116" i="6"/>
  <c r="M107" i="6"/>
  <c r="M106" i="6"/>
  <c r="M105" i="6"/>
  <c r="M104" i="6"/>
  <c r="M103" i="6"/>
  <c r="M102" i="6"/>
  <c r="M101" i="6"/>
  <c r="M100" i="6"/>
  <c r="M92" i="6"/>
  <c r="M91" i="6"/>
  <c r="M85" i="6"/>
  <c r="M81" i="6"/>
  <c r="M80" i="6"/>
  <c r="M76" i="6"/>
  <c r="M75" i="6"/>
  <c r="M69" i="6"/>
  <c r="M68" i="6"/>
  <c r="M66" i="6"/>
  <c r="M63" i="6"/>
  <c r="M60" i="6"/>
  <c r="M53" i="6"/>
  <c r="M52" i="6"/>
  <c r="M47" i="6"/>
  <c r="M46" i="6"/>
  <c r="M40" i="6"/>
  <c r="M33" i="6"/>
  <c r="M32" i="6"/>
  <c r="M31" i="6"/>
  <c r="M30" i="6"/>
  <c r="M29" i="6"/>
  <c r="M23" i="6"/>
  <c r="M22" i="6"/>
  <c r="M19" i="6"/>
  <c r="P182" i="6"/>
  <c r="P177" i="6"/>
  <c r="S175" i="6"/>
  <c r="R175" i="6"/>
  <c r="S169" i="6"/>
  <c r="R169" i="6"/>
  <c r="P166" i="6"/>
  <c r="P162" i="6"/>
  <c r="S159" i="6"/>
  <c r="R159" i="6"/>
  <c r="P157" i="6"/>
  <c r="S155" i="6"/>
  <c r="R155" i="6"/>
  <c r="P148" i="6"/>
  <c r="S143" i="6"/>
  <c r="S142" i="6" s="1"/>
  <c r="R143" i="6"/>
  <c r="P140" i="6"/>
  <c r="S135" i="6"/>
  <c r="S133" i="6" s="1"/>
  <c r="P119" i="6"/>
  <c r="P117" i="6"/>
  <c r="P116" i="6"/>
  <c r="S115" i="6"/>
  <c r="R115" i="6"/>
  <c r="Q115" i="6"/>
  <c r="S108" i="6"/>
  <c r="P107" i="6"/>
  <c r="P106" i="6"/>
  <c r="P105" i="6"/>
  <c r="P104" i="6"/>
  <c r="P103" i="6"/>
  <c r="P102" i="6"/>
  <c r="P101" i="6"/>
  <c r="P100" i="6"/>
  <c r="S99" i="6"/>
  <c r="R99" i="6"/>
  <c r="Q99" i="6"/>
  <c r="S95" i="6"/>
  <c r="S93" i="6" s="1"/>
  <c r="R95" i="6"/>
  <c r="R93" i="6" s="1"/>
  <c r="P92" i="6"/>
  <c r="P91" i="6"/>
  <c r="S90" i="6"/>
  <c r="R90" i="6"/>
  <c r="Q90" i="6"/>
  <c r="S87" i="6"/>
  <c r="P80" i="6"/>
  <c r="S79" i="6"/>
  <c r="P76" i="6"/>
  <c r="P75" i="6"/>
  <c r="S74" i="6"/>
  <c r="R74" i="6"/>
  <c r="Q74" i="6"/>
  <c r="S71" i="6"/>
  <c r="P68" i="6"/>
  <c r="S67" i="6"/>
  <c r="R67" i="6"/>
  <c r="P66" i="6"/>
  <c r="S62" i="6"/>
  <c r="P60" i="6"/>
  <c r="R55" i="6"/>
  <c r="P53" i="6"/>
  <c r="P52" i="6"/>
  <c r="S50" i="6"/>
  <c r="S48" i="6" s="1"/>
  <c r="R50" i="6"/>
  <c r="R48" i="6" s="1"/>
  <c r="S41" i="6"/>
  <c r="S38" i="6" s="1"/>
  <c r="S34" i="6"/>
  <c r="R34" i="6"/>
  <c r="S25" i="6"/>
  <c r="R25" i="6"/>
  <c r="S16" i="6"/>
  <c r="S11" i="6"/>
  <c r="R11" i="6"/>
  <c r="O183" i="6"/>
  <c r="N153" i="6"/>
  <c r="M148" i="6"/>
  <c r="M146" i="6"/>
  <c r="L92" i="6" l="1"/>
  <c r="L101" i="6"/>
  <c r="L106" i="6"/>
  <c r="L107" i="6"/>
  <c r="S97" i="6"/>
  <c r="L80" i="6"/>
  <c r="L145" i="6"/>
  <c r="N34" i="6"/>
  <c r="L22" i="6"/>
  <c r="L33" i="6"/>
  <c r="L60" i="6"/>
  <c r="M74" i="6"/>
  <c r="M90" i="6"/>
  <c r="L150" i="6"/>
  <c r="L157" i="6"/>
  <c r="L163" i="6"/>
  <c r="L177" i="6"/>
  <c r="N90" i="6"/>
  <c r="M115" i="6"/>
  <c r="N159" i="6"/>
  <c r="L23" i="6"/>
  <c r="L141" i="6"/>
  <c r="S10" i="6"/>
  <c r="N93" i="6"/>
  <c r="L103" i="6"/>
  <c r="L85" i="6"/>
  <c r="R24" i="6"/>
  <c r="P74" i="6"/>
  <c r="L91" i="6"/>
  <c r="L47" i="6"/>
  <c r="M67" i="6"/>
  <c r="M99" i="6"/>
  <c r="L30" i="6"/>
  <c r="L46" i="6"/>
  <c r="O124" i="6"/>
  <c r="O122" i="6" s="1"/>
  <c r="N50" i="6"/>
  <c r="N48" i="6" s="1"/>
  <c r="L66" i="6"/>
  <c r="L75" i="6"/>
  <c r="L102" i="6"/>
  <c r="N115" i="6"/>
  <c r="N155" i="6"/>
  <c r="L166" i="6"/>
  <c r="N169" i="6"/>
  <c r="O11" i="6"/>
  <c r="O16" i="6"/>
  <c r="O25" i="6"/>
  <c r="O108" i="6"/>
  <c r="L174" i="6"/>
  <c r="O41" i="6"/>
  <c r="O38" i="6" s="1"/>
  <c r="L40" i="6"/>
  <c r="L165" i="6"/>
  <c r="L172" i="6"/>
  <c r="N11" i="6"/>
  <c r="L153" i="6"/>
  <c r="L69" i="6"/>
  <c r="L32" i="6"/>
  <c r="L162" i="6"/>
  <c r="L105" i="6"/>
  <c r="L53" i="6"/>
  <c r="P115" i="6"/>
  <c r="M159" i="6"/>
  <c r="N74" i="6"/>
  <c r="L140" i="6"/>
  <c r="L31" i="6"/>
  <c r="L161" i="6"/>
  <c r="L104" i="6"/>
  <c r="L182" i="6"/>
  <c r="L132" i="6"/>
  <c r="L148" i="6"/>
  <c r="L160" i="6"/>
  <c r="L156" i="6"/>
  <c r="S78" i="6"/>
  <c r="S70" i="6"/>
  <c r="S24" i="6"/>
  <c r="P90" i="6"/>
  <c r="P99" i="6"/>
  <c r="L29" i="6"/>
  <c r="N99" i="6"/>
  <c r="L76" i="6"/>
  <c r="N67" i="6"/>
  <c r="L68" i="6"/>
  <c r="N25" i="6"/>
  <c r="L119" i="6"/>
  <c r="L117" i="6"/>
  <c r="L52" i="6"/>
  <c r="L170" i="6"/>
  <c r="O169" i="6"/>
  <c r="O55" i="6"/>
  <c r="O67" i="6"/>
  <c r="O71" i="6"/>
  <c r="O79" i="6"/>
  <c r="O87" i="6"/>
  <c r="O95" i="6"/>
  <c r="O93" i="6" s="1"/>
  <c r="L116" i="6"/>
  <c r="O115" i="6"/>
  <c r="O34" i="6"/>
  <c r="O50" i="6"/>
  <c r="O48" i="6" s="1"/>
  <c r="O62" i="6"/>
  <c r="O74" i="6"/>
  <c r="O90" i="6"/>
  <c r="L100" i="6"/>
  <c r="O99" i="6"/>
  <c r="O180" i="6"/>
  <c r="O135" i="6"/>
  <c r="O133" i="6" s="1"/>
  <c r="O143" i="6"/>
  <c r="O142" i="6" s="1"/>
  <c r="O155" i="6"/>
  <c r="O159" i="6"/>
  <c r="O175" i="6"/>
  <c r="M129" i="6"/>
  <c r="L129" i="6" s="1"/>
  <c r="N127" i="6"/>
  <c r="N114" i="6"/>
  <c r="M77" i="6"/>
  <c r="L77" i="6" s="1"/>
  <c r="L90" i="6" l="1"/>
  <c r="O97" i="6"/>
  <c r="L67" i="6"/>
  <c r="N24" i="6"/>
  <c r="O10" i="6"/>
  <c r="L115" i="6"/>
  <c r="O24" i="6"/>
  <c r="L74" i="6"/>
  <c r="L159" i="6"/>
  <c r="L99" i="6"/>
  <c r="N109" i="6"/>
  <c r="O54" i="6"/>
  <c r="O78" i="6"/>
  <c r="O70" i="6"/>
  <c r="N61" i="6"/>
  <c r="N57" i="6"/>
  <c r="N56" i="6"/>
  <c r="M42" i="6"/>
  <c r="L42" i="6" s="1"/>
  <c r="N39" i="6"/>
  <c r="M21" i="6"/>
  <c r="L21" i="6" s="1"/>
  <c r="M14" i="6"/>
  <c r="L14" i="6" s="1"/>
  <c r="N55" i="6" l="1"/>
  <c r="E164" i="5" l="1"/>
  <c r="E133" i="5"/>
  <c r="E129" i="5"/>
  <c r="E29" i="5"/>
  <c r="E17" i="5"/>
  <c r="E9" i="5"/>
  <c r="E7" i="5"/>
  <c r="E5" i="5"/>
  <c r="D164" i="5"/>
  <c r="D133" i="5"/>
  <c r="D129" i="5"/>
  <c r="D62" i="5"/>
  <c r="D54" i="5"/>
  <c r="D29" i="5"/>
  <c r="D17" i="5"/>
  <c r="D9" i="5"/>
  <c r="D7" i="5"/>
  <c r="D5" i="5"/>
  <c r="D12" i="7" l="1"/>
  <c r="E12" i="7"/>
  <c r="E128" i="5"/>
  <c r="E8" i="7" s="1"/>
  <c r="M26" i="7"/>
  <c r="E4" i="5"/>
  <c r="D4" i="5"/>
  <c r="L27" i="7"/>
  <c r="L26" i="7"/>
  <c r="D128" i="5"/>
  <c r="D8" i="7" s="1"/>
  <c r="D16" i="5"/>
  <c r="F12" i="7" l="1"/>
  <c r="F8" i="7"/>
  <c r="D3" i="5"/>
  <c r="D174" i="5" s="1"/>
  <c r="M25" i="7"/>
  <c r="L25" i="7"/>
  <c r="K183" i="6"/>
  <c r="K182" i="6"/>
  <c r="K181" i="6"/>
  <c r="K178" i="6"/>
  <c r="K177" i="6"/>
  <c r="K176" i="6"/>
  <c r="K174" i="6"/>
  <c r="K173" i="6"/>
  <c r="K172" i="6"/>
  <c r="K171" i="6"/>
  <c r="K170" i="6"/>
  <c r="K167" i="6"/>
  <c r="K166" i="6"/>
  <c r="K165" i="6"/>
  <c r="K163" i="6"/>
  <c r="K162" i="6"/>
  <c r="K161" i="6"/>
  <c r="K160" i="6"/>
  <c r="K158" i="6"/>
  <c r="K157" i="6"/>
  <c r="K156" i="6"/>
  <c r="K153" i="6"/>
  <c r="K152" i="6"/>
  <c r="K151" i="6"/>
  <c r="K150" i="6"/>
  <c r="K149" i="6"/>
  <c r="K148" i="6"/>
  <c r="K147" i="6"/>
  <c r="K146" i="6"/>
  <c r="K145" i="6"/>
  <c r="K144" i="6"/>
  <c r="K141" i="6"/>
  <c r="K140" i="6"/>
  <c r="K139" i="6"/>
  <c r="K138" i="6"/>
  <c r="K137" i="6"/>
  <c r="K136" i="6"/>
  <c r="K134" i="6"/>
  <c r="K132" i="6"/>
  <c r="K130" i="6"/>
  <c r="K129" i="6"/>
  <c r="K128" i="6"/>
  <c r="K127" i="6"/>
  <c r="K126" i="6"/>
  <c r="K125" i="6"/>
  <c r="K123" i="6"/>
  <c r="K120" i="6"/>
  <c r="K119" i="6"/>
  <c r="K118" i="6"/>
  <c r="K117" i="6"/>
  <c r="K116" i="6"/>
  <c r="K114" i="6"/>
  <c r="K113" i="6"/>
  <c r="K112" i="6"/>
  <c r="K111" i="6"/>
  <c r="K110" i="6"/>
  <c r="K109" i="6"/>
  <c r="K107" i="6"/>
  <c r="K106" i="6"/>
  <c r="K105" i="6"/>
  <c r="K104" i="6"/>
  <c r="K103" i="6"/>
  <c r="K102" i="6"/>
  <c r="K101" i="6"/>
  <c r="K100" i="6"/>
  <c r="K98" i="6"/>
  <c r="K96" i="6"/>
  <c r="K94" i="6"/>
  <c r="K92" i="6"/>
  <c r="K91" i="6"/>
  <c r="K89" i="6"/>
  <c r="K88" i="6"/>
  <c r="K86" i="6"/>
  <c r="K85" i="6"/>
  <c r="K84" i="6"/>
  <c r="K83" i="6"/>
  <c r="K82" i="6"/>
  <c r="K81" i="6"/>
  <c r="K80" i="6"/>
  <c r="K77" i="6"/>
  <c r="K76" i="6"/>
  <c r="K75" i="6"/>
  <c r="K73" i="6"/>
  <c r="K72" i="6"/>
  <c r="K69" i="6"/>
  <c r="K68" i="6"/>
  <c r="K66" i="6"/>
  <c r="K65" i="6"/>
  <c r="K64" i="6"/>
  <c r="K63" i="6"/>
  <c r="K61" i="6"/>
  <c r="K60" i="6"/>
  <c r="K59" i="6"/>
  <c r="K58" i="6"/>
  <c r="K57" i="6"/>
  <c r="K56" i="6"/>
  <c r="K53" i="6"/>
  <c r="K52" i="6"/>
  <c r="K51" i="6"/>
  <c r="K49" i="6"/>
  <c r="K47" i="6"/>
  <c r="K46" i="6"/>
  <c r="K45" i="6"/>
  <c r="K44" i="6"/>
  <c r="K43" i="6"/>
  <c r="K42" i="6"/>
  <c r="K40" i="6"/>
  <c r="K39" i="6"/>
  <c r="K37" i="6"/>
  <c r="K36" i="6"/>
  <c r="K35" i="6"/>
  <c r="K33" i="6"/>
  <c r="K32" i="6"/>
  <c r="K31" i="6"/>
  <c r="K30" i="6"/>
  <c r="K29" i="6"/>
  <c r="K28" i="6"/>
  <c r="K27" i="6"/>
  <c r="K26" i="6"/>
  <c r="K23" i="6"/>
  <c r="K22" i="6"/>
  <c r="K21" i="6"/>
  <c r="K20" i="6"/>
  <c r="K19" i="6"/>
  <c r="K18" i="6"/>
  <c r="K17" i="6"/>
  <c r="K15" i="6"/>
  <c r="K14" i="6"/>
  <c r="K13" i="6"/>
  <c r="K12" i="6"/>
  <c r="J183" i="6"/>
  <c r="J182" i="6"/>
  <c r="J181" i="6"/>
  <c r="J178" i="6"/>
  <c r="J177" i="6"/>
  <c r="J176" i="6"/>
  <c r="J174" i="6"/>
  <c r="J173" i="6"/>
  <c r="J172" i="6"/>
  <c r="J171" i="6"/>
  <c r="J170" i="6"/>
  <c r="J167" i="6"/>
  <c r="J166" i="6"/>
  <c r="J165" i="6"/>
  <c r="J163" i="6"/>
  <c r="J162" i="6"/>
  <c r="J161" i="6"/>
  <c r="J160" i="6"/>
  <c r="J158" i="6"/>
  <c r="J157" i="6"/>
  <c r="J156" i="6"/>
  <c r="J153" i="6"/>
  <c r="J152" i="6"/>
  <c r="J151" i="6"/>
  <c r="J150" i="6"/>
  <c r="J149" i="6"/>
  <c r="J148" i="6"/>
  <c r="J147" i="6"/>
  <c r="J146" i="6"/>
  <c r="J145" i="6"/>
  <c r="J144" i="6"/>
  <c r="J141" i="6"/>
  <c r="J140" i="6"/>
  <c r="J139" i="6"/>
  <c r="J138" i="6"/>
  <c r="J137" i="6"/>
  <c r="J136" i="6"/>
  <c r="J134" i="6"/>
  <c r="J132" i="6"/>
  <c r="J130" i="6"/>
  <c r="J129" i="6"/>
  <c r="J128" i="6"/>
  <c r="J127" i="6"/>
  <c r="J126" i="6"/>
  <c r="J125" i="6"/>
  <c r="J123" i="6"/>
  <c r="J120" i="6"/>
  <c r="J119" i="6"/>
  <c r="J118" i="6"/>
  <c r="J117" i="6"/>
  <c r="J116" i="6"/>
  <c r="J114" i="6"/>
  <c r="J113" i="6"/>
  <c r="J112" i="6"/>
  <c r="J111" i="6"/>
  <c r="J110" i="6"/>
  <c r="J109" i="6"/>
  <c r="J107" i="6"/>
  <c r="J106" i="6"/>
  <c r="J105" i="6"/>
  <c r="J104" i="6"/>
  <c r="J103" i="6"/>
  <c r="J102" i="6"/>
  <c r="J101" i="6"/>
  <c r="J100" i="6"/>
  <c r="J98" i="6"/>
  <c r="J96" i="6"/>
  <c r="J94" i="6"/>
  <c r="J92" i="6"/>
  <c r="J91" i="6"/>
  <c r="J89" i="6"/>
  <c r="J88" i="6"/>
  <c r="J86" i="6"/>
  <c r="J85" i="6"/>
  <c r="J84" i="6"/>
  <c r="J83" i="6"/>
  <c r="J82" i="6"/>
  <c r="J81" i="6"/>
  <c r="J80" i="6"/>
  <c r="J77" i="6"/>
  <c r="J76" i="6"/>
  <c r="J75" i="6"/>
  <c r="J73" i="6"/>
  <c r="J72" i="6"/>
  <c r="J69" i="6"/>
  <c r="J68" i="6"/>
  <c r="J66" i="6"/>
  <c r="J65" i="6"/>
  <c r="J64" i="6"/>
  <c r="J63" i="6"/>
  <c r="J61" i="6"/>
  <c r="J60" i="6"/>
  <c r="J59" i="6"/>
  <c r="J58" i="6"/>
  <c r="J57" i="6"/>
  <c r="J56" i="6"/>
  <c r="J53" i="6"/>
  <c r="J52" i="6"/>
  <c r="J51" i="6"/>
  <c r="J49" i="6"/>
  <c r="J47" i="6"/>
  <c r="J46" i="6"/>
  <c r="J45" i="6"/>
  <c r="J44" i="6"/>
  <c r="J43" i="6"/>
  <c r="J42" i="6"/>
  <c r="J40" i="6"/>
  <c r="J39" i="6"/>
  <c r="J37" i="6"/>
  <c r="J36" i="6"/>
  <c r="J35" i="6"/>
  <c r="J33" i="6"/>
  <c r="J32" i="6"/>
  <c r="J31" i="6"/>
  <c r="J30" i="6"/>
  <c r="J29" i="6"/>
  <c r="J28" i="6"/>
  <c r="J27" i="6"/>
  <c r="J26" i="6"/>
  <c r="J23" i="6"/>
  <c r="J22" i="6"/>
  <c r="J21" i="6"/>
  <c r="J20" i="6"/>
  <c r="J19" i="6"/>
  <c r="J18" i="6"/>
  <c r="J17" i="6"/>
  <c r="J15" i="6"/>
  <c r="J14" i="6"/>
  <c r="J13" i="6"/>
  <c r="J12" i="6"/>
  <c r="I183" i="6"/>
  <c r="I182" i="6"/>
  <c r="I181" i="6"/>
  <c r="I178" i="6"/>
  <c r="I177" i="6"/>
  <c r="I176" i="6"/>
  <c r="I174" i="6"/>
  <c r="I173" i="6"/>
  <c r="I172" i="6"/>
  <c r="I171" i="6"/>
  <c r="I170" i="6"/>
  <c r="I167" i="6"/>
  <c r="I166" i="6"/>
  <c r="I165" i="6"/>
  <c r="I163" i="6"/>
  <c r="I162" i="6"/>
  <c r="I161" i="6"/>
  <c r="I160" i="6"/>
  <c r="I158" i="6"/>
  <c r="I157" i="6"/>
  <c r="I156" i="6"/>
  <c r="I153" i="6"/>
  <c r="I152" i="6"/>
  <c r="I151" i="6"/>
  <c r="I150" i="6"/>
  <c r="I149" i="6"/>
  <c r="I148" i="6"/>
  <c r="I147" i="6"/>
  <c r="I146" i="6"/>
  <c r="I145" i="6"/>
  <c r="I144" i="6"/>
  <c r="I141" i="6"/>
  <c r="I140" i="6"/>
  <c r="I139" i="6"/>
  <c r="I138" i="6"/>
  <c r="I137" i="6"/>
  <c r="I136" i="6"/>
  <c r="I134" i="6"/>
  <c r="I132" i="6"/>
  <c r="I130" i="6"/>
  <c r="I129" i="6"/>
  <c r="I128" i="6"/>
  <c r="I127" i="6"/>
  <c r="I126" i="6"/>
  <c r="I125" i="6"/>
  <c r="I123" i="6"/>
  <c r="I120" i="6"/>
  <c r="I119" i="6"/>
  <c r="I118" i="6"/>
  <c r="I117" i="6"/>
  <c r="I116" i="6"/>
  <c r="I114" i="6"/>
  <c r="I113" i="6"/>
  <c r="I112" i="6"/>
  <c r="I111" i="6"/>
  <c r="I110" i="6"/>
  <c r="I109" i="6"/>
  <c r="I107" i="6"/>
  <c r="I106" i="6"/>
  <c r="I105" i="6"/>
  <c r="I104" i="6"/>
  <c r="I103" i="6"/>
  <c r="I102" i="6"/>
  <c r="I101" i="6"/>
  <c r="I100" i="6"/>
  <c r="I98" i="6"/>
  <c r="I96" i="6"/>
  <c r="I94" i="6"/>
  <c r="I92" i="6"/>
  <c r="I91" i="6"/>
  <c r="I89" i="6"/>
  <c r="I88" i="6"/>
  <c r="I86" i="6"/>
  <c r="I85" i="6"/>
  <c r="I84" i="6"/>
  <c r="I83" i="6"/>
  <c r="I82" i="6"/>
  <c r="I81" i="6"/>
  <c r="I80" i="6"/>
  <c r="I77" i="6"/>
  <c r="I76" i="6"/>
  <c r="I75" i="6"/>
  <c r="I73" i="6"/>
  <c r="I72" i="6"/>
  <c r="I69" i="6"/>
  <c r="I68" i="6"/>
  <c r="I66" i="6"/>
  <c r="I65" i="6"/>
  <c r="I64" i="6"/>
  <c r="I63" i="6"/>
  <c r="I61" i="6"/>
  <c r="I60" i="6"/>
  <c r="I59" i="6"/>
  <c r="I58" i="6"/>
  <c r="I57" i="6"/>
  <c r="I56" i="6"/>
  <c r="I53" i="6"/>
  <c r="I51" i="6"/>
  <c r="I49" i="6"/>
  <c r="I47" i="6"/>
  <c r="I46" i="6"/>
  <c r="I45" i="6"/>
  <c r="I44" i="6"/>
  <c r="I43" i="6"/>
  <c r="I42" i="6"/>
  <c r="I40" i="6"/>
  <c r="I39" i="6"/>
  <c r="I36" i="6"/>
  <c r="I35" i="6"/>
  <c r="I33" i="6"/>
  <c r="I32" i="6"/>
  <c r="I31" i="6"/>
  <c r="I30" i="6"/>
  <c r="I29" i="6"/>
  <c r="I28" i="6"/>
  <c r="I27" i="6"/>
  <c r="I26" i="6"/>
  <c r="I23" i="6"/>
  <c r="I22" i="6"/>
  <c r="I21" i="6"/>
  <c r="I20" i="6"/>
  <c r="I19" i="6"/>
  <c r="I18" i="6"/>
  <c r="I17" i="6"/>
  <c r="I15" i="6"/>
  <c r="I14" i="6"/>
  <c r="I13" i="6"/>
  <c r="I12" i="6"/>
  <c r="D4" i="7" l="1"/>
  <c r="L35" i="7"/>
  <c r="I52" i="6"/>
  <c r="D21" i="7" l="1"/>
  <c r="D16" i="7"/>
  <c r="I37" i="6"/>
  <c r="C29" i="5" l="1"/>
  <c r="K175" i="6" l="1"/>
  <c r="J175" i="6"/>
  <c r="H132" i="6"/>
  <c r="H130" i="6"/>
  <c r="H129" i="6"/>
  <c r="H128" i="6"/>
  <c r="H127" i="6"/>
  <c r="H126" i="6"/>
  <c r="H120" i="6"/>
  <c r="H119" i="6"/>
  <c r="H117" i="6"/>
  <c r="H113" i="6"/>
  <c r="H107" i="6"/>
  <c r="H105" i="6"/>
  <c r="H104" i="6"/>
  <c r="H103" i="6"/>
  <c r="H102" i="6"/>
  <c r="H101" i="6"/>
  <c r="H100" i="6"/>
  <c r="H98" i="6"/>
  <c r="K95" i="6"/>
  <c r="J95" i="6"/>
  <c r="I95" i="6"/>
  <c r="H65" i="6"/>
  <c r="H64" i="6"/>
  <c r="H61" i="6"/>
  <c r="H60" i="6"/>
  <c r="H59" i="6"/>
  <c r="H58" i="6"/>
  <c r="H57" i="6"/>
  <c r="H69" i="6"/>
  <c r="H53" i="6"/>
  <c r="H52" i="6"/>
  <c r="H51" i="6"/>
  <c r="H47" i="6"/>
  <c r="H46" i="6"/>
  <c r="H45" i="6"/>
  <c r="H43" i="6"/>
  <c r="H42" i="6"/>
  <c r="H40" i="6"/>
  <c r="H109" i="6" l="1"/>
  <c r="H39" i="6"/>
  <c r="H123" i="6"/>
  <c r="H68" i="6"/>
  <c r="H67" i="6" s="1"/>
  <c r="H125" i="6"/>
  <c r="H124" i="6" s="1"/>
  <c r="I124" i="6"/>
  <c r="I122" i="6" s="1"/>
  <c r="J124" i="6"/>
  <c r="J122" i="6" s="1"/>
  <c r="K124" i="6"/>
  <c r="K122" i="6" s="1"/>
  <c r="H114" i="6"/>
  <c r="H110" i="6"/>
  <c r="I55" i="6"/>
  <c r="I115" i="6"/>
  <c r="J115" i="6"/>
  <c r="K115" i="6"/>
  <c r="J71" i="6"/>
  <c r="K155" i="6"/>
  <c r="H144" i="6"/>
  <c r="H148" i="6"/>
  <c r="H152" i="6"/>
  <c r="H145" i="6"/>
  <c r="H149" i="6"/>
  <c r="H153" i="6"/>
  <c r="H147" i="6"/>
  <c r="K90" i="6"/>
  <c r="I71" i="6"/>
  <c r="H77" i="6"/>
  <c r="H66" i="6"/>
  <c r="H73" i="6"/>
  <c r="K135" i="6"/>
  <c r="K133" i="6" s="1"/>
  <c r="H151" i="6"/>
  <c r="I67" i="6"/>
  <c r="J67" i="6"/>
  <c r="K67" i="6"/>
  <c r="I74" i="6"/>
  <c r="K71" i="6"/>
  <c r="K87" i="6"/>
  <c r="H162" i="6"/>
  <c r="J155" i="6"/>
  <c r="H173" i="6"/>
  <c r="J180" i="6"/>
  <c r="K180" i="6"/>
  <c r="I108" i="6"/>
  <c r="H111" i="6"/>
  <c r="K74" i="6"/>
  <c r="H83" i="6"/>
  <c r="H88" i="6"/>
  <c r="J79" i="6"/>
  <c r="H89" i="6"/>
  <c r="K79" i="6"/>
  <c r="J93" i="6"/>
  <c r="J135" i="6"/>
  <c r="J133" i="6" s="1"/>
  <c r="H140" i="6"/>
  <c r="K143" i="6"/>
  <c r="K142" i="6" s="1"/>
  <c r="I143" i="6"/>
  <c r="I142" i="6" s="1"/>
  <c r="H158" i="6"/>
  <c r="H163" i="6"/>
  <c r="H178" i="6"/>
  <c r="H160" i="6"/>
  <c r="H165" i="6"/>
  <c r="H170" i="6"/>
  <c r="J41" i="6"/>
  <c r="J38" i="6" s="1"/>
  <c r="K41" i="6"/>
  <c r="K38" i="6" s="1"/>
  <c r="I79" i="6"/>
  <c r="H85" i="6"/>
  <c r="H92" i="6"/>
  <c r="K93" i="6"/>
  <c r="J108" i="6"/>
  <c r="K99" i="6"/>
  <c r="H181" i="6"/>
  <c r="I135" i="6"/>
  <c r="I133" i="6" s="1"/>
  <c r="H136" i="6"/>
  <c r="H146" i="6"/>
  <c r="H150" i="6"/>
  <c r="J143" i="6"/>
  <c r="J142" i="6" s="1"/>
  <c r="H182" i="6"/>
  <c r="I50" i="6"/>
  <c r="I48" i="6" s="1"/>
  <c r="H76" i="6"/>
  <c r="J74" i="6"/>
  <c r="H137" i="6"/>
  <c r="H141" i="6"/>
  <c r="H138" i="6"/>
  <c r="H167" i="6"/>
  <c r="H183" i="6"/>
  <c r="H50" i="6"/>
  <c r="H91" i="6"/>
  <c r="H75" i="6"/>
  <c r="H82" i="6"/>
  <c r="H86" i="6"/>
  <c r="J87" i="6"/>
  <c r="H81" i="6"/>
  <c r="I90" i="6"/>
  <c r="I93" i="6"/>
  <c r="H94" i="6"/>
  <c r="J169" i="6"/>
  <c r="H80" i="6"/>
  <c r="J50" i="6"/>
  <c r="J48" i="6" s="1"/>
  <c r="K50" i="6"/>
  <c r="K48" i="6" s="1"/>
  <c r="K55" i="6"/>
  <c r="K62" i="6"/>
  <c r="H72" i="6"/>
  <c r="H84" i="6"/>
  <c r="J90" i="6"/>
  <c r="I87" i="6"/>
  <c r="I155" i="6"/>
  <c r="H156" i="6"/>
  <c r="H161" i="6"/>
  <c r="H166" i="6"/>
  <c r="H171" i="6"/>
  <c r="I175" i="6"/>
  <c r="H176" i="6"/>
  <c r="H175" i="6" s="1"/>
  <c r="J159" i="6"/>
  <c r="J99" i="6"/>
  <c r="H106" i="6"/>
  <c r="H99" i="6" s="1"/>
  <c r="I159" i="6"/>
  <c r="I169" i="6"/>
  <c r="H174" i="6"/>
  <c r="H116" i="6"/>
  <c r="H115" i="6" s="1"/>
  <c r="H118" i="6"/>
  <c r="K108" i="6"/>
  <c r="H134" i="6"/>
  <c r="H139" i="6"/>
  <c r="H157" i="6"/>
  <c r="H172" i="6"/>
  <c r="H177" i="6"/>
  <c r="K159" i="6"/>
  <c r="K169" i="6"/>
  <c r="I180" i="6"/>
  <c r="H96" i="6"/>
  <c r="H95" i="6" s="1"/>
  <c r="H112" i="6"/>
  <c r="I99" i="6"/>
  <c r="I41" i="6"/>
  <c r="I38" i="6" s="1"/>
  <c r="H44" i="6"/>
  <c r="H41" i="6" s="1"/>
  <c r="I62" i="6"/>
  <c r="J62" i="6"/>
  <c r="H49" i="6"/>
  <c r="H56" i="6"/>
  <c r="H55" i="6" s="1"/>
  <c r="J55" i="6"/>
  <c r="H63" i="6"/>
  <c r="H38" i="6" l="1"/>
  <c r="H122" i="6"/>
  <c r="H90" i="6"/>
  <c r="J70" i="6"/>
  <c r="H143" i="6"/>
  <c r="H142" i="6" s="1"/>
  <c r="I97" i="6"/>
  <c r="K97" i="6"/>
  <c r="H71" i="6"/>
  <c r="H87" i="6"/>
  <c r="H180" i="6"/>
  <c r="K78" i="6"/>
  <c r="K70" i="6"/>
  <c r="H74" i="6"/>
  <c r="H62" i="6"/>
  <c r="H54" i="6" s="1"/>
  <c r="H108" i="6"/>
  <c r="H97" i="6" s="1"/>
  <c r="J78" i="6"/>
  <c r="J97" i="6"/>
  <c r="I70" i="6"/>
  <c r="H169" i="6"/>
  <c r="H135" i="6"/>
  <c r="H133" i="6" s="1"/>
  <c r="H159" i="6"/>
  <c r="J54" i="6"/>
  <c r="I78" i="6"/>
  <c r="H155" i="6"/>
  <c r="H79" i="6"/>
  <c r="H93" i="6"/>
  <c r="H48" i="6"/>
  <c r="K54" i="6"/>
  <c r="I54" i="6"/>
  <c r="H78" i="6" l="1"/>
  <c r="H70" i="6"/>
  <c r="K34" i="6" l="1"/>
  <c r="J34" i="6"/>
  <c r="H27" i="6"/>
  <c r="H31" i="6"/>
  <c r="H36" i="6"/>
  <c r="H28" i="6"/>
  <c r="H32" i="6"/>
  <c r="K25" i="6"/>
  <c r="H29" i="6"/>
  <c r="H33" i="6"/>
  <c r="J25" i="6"/>
  <c r="H37" i="6"/>
  <c r="H26" i="6"/>
  <c r="I25" i="6"/>
  <c r="H30" i="6"/>
  <c r="H35" i="6"/>
  <c r="I34" i="6"/>
  <c r="C164" i="5"/>
  <c r="C133" i="5"/>
  <c r="C129" i="5"/>
  <c r="C62" i="5"/>
  <c r="C54" i="5"/>
  <c r="C17" i="5"/>
  <c r="C9" i="5"/>
  <c r="C7" i="5"/>
  <c r="C5" i="5"/>
  <c r="K24" i="6" l="1"/>
  <c r="C12" i="7"/>
  <c r="C128" i="5"/>
  <c r="C8" i="7" s="1"/>
  <c r="I24" i="6"/>
  <c r="K27" i="7"/>
  <c r="C4" i="5"/>
  <c r="H34" i="6"/>
  <c r="J24" i="6"/>
  <c r="K16" i="6"/>
  <c r="H25" i="6"/>
  <c r="H13" i="6"/>
  <c r="H18" i="6"/>
  <c r="H22" i="6"/>
  <c r="H14" i="6"/>
  <c r="H19" i="6"/>
  <c r="H23" i="6"/>
  <c r="K11" i="6"/>
  <c r="H15" i="6"/>
  <c r="H20" i="6"/>
  <c r="J11" i="6"/>
  <c r="J16" i="6"/>
  <c r="I11" i="6"/>
  <c r="H12" i="6"/>
  <c r="I16" i="6"/>
  <c r="H17" i="6"/>
  <c r="H21" i="6"/>
  <c r="K26" i="7" l="1"/>
  <c r="C16" i="5"/>
  <c r="C3" i="5" s="1"/>
  <c r="C174" i="5" s="1"/>
  <c r="K25" i="7"/>
  <c r="H24" i="6"/>
  <c r="H11" i="6"/>
  <c r="I10" i="6"/>
  <c r="K10" i="6"/>
  <c r="H16" i="6"/>
  <c r="J10" i="6"/>
  <c r="K35" i="7" l="1"/>
  <c r="C4" i="7"/>
  <c r="H10" i="6"/>
  <c r="C16" i="7" l="1"/>
  <c r="C21" i="7"/>
  <c r="B62" i="5"/>
  <c r="B29" i="5" l="1"/>
  <c r="J29" i="7" l="1"/>
  <c r="J28" i="7"/>
  <c r="F168" i="6"/>
  <c r="G168" i="6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G182" i="6" l="1"/>
  <c r="F182" i="6"/>
  <c r="E182" i="6"/>
  <c r="G173" i="6"/>
  <c r="F173" i="6"/>
  <c r="G166" i="6"/>
  <c r="F166" i="6"/>
  <c r="G165" i="6"/>
  <c r="F165" i="6"/>
  <c r="G163" i="6"/>
  <c r="F163" i="6"/>
  <c r="G161" i="6"/>
  <c r="F161" i="6"/>
  <c r="G157" i="6"/>
  <c r="F157" i="6"/>
  <c r="E157" i="6"/>
  <c r="G156" i="6"/>
  <c r="F156" i="6"/>
  <c r="G119" i="6"/>
  <c r="F119" i="6"/>
  <c r="E119" i="6"/>
  <c r="G117" i="6"/>
  <c r="F117" i="6"/>
  <c r="E117" i="6"/>
  <c r="G116" i="6"/>
  <c r="F116" i="6"/>
  <c r="E116" i="6"/>
  <c r="G113" i="6"/>
  <c r="G112" i="6"/>
  <c r="F112" i="6"/>
  <c r="G110" i="6"/>
  <c r="G109" i="6"/>
  <c r="F109" i="6"/>
  <c r="G107" i="6"/>
  <c r="F107" i="6"/>
  <c r="E107" i="6"/>
  <c r="G106" i="6"/>
  <c r="F106" i="6"/>
  <c r="E106" i="6"/>
  <c r="G104" i="6"/>
  <c r="F104" i="6"/>
  <c r="E104" i="6"/>
  <c r="G103" i="6"/>
  <c r="F103" i="6"/>
  <c r="E103" i="6"/>
  <c r="G101" i="6"/>
  <c r="F101" i="6"/>
  <c r="E101" i="6"/>
  <c r="G100" i="6"/>
  <c r="F100" i="6"/>
  <c r="E100" i="6"/>
  <c r="G96" i="6"/>
  <c r="F96" i="6"/>
  <c r="E96" i="6"/>
  <c r="G94" i="6"/>
  <c r="F94" i="6"/>
  <c r="G92" i="6"/>
  <c r="F92" i="6"/>
  <c r="E92" i="6"/>
  <c r="F59" i="6"/>
  <c r="G53" i="6"/>
  <c r="F53" i="6"/>
  <c r="E53" i="6"/>
  <c r="D104" i="6" l="1"/>
  <c r="D117" i="6"/>
  <c r="D182" i="6"/>
  <c r="D119" i="6"/>
  <c r="F115" i="6"/>
  <c r="D157" i="6"/>
  <c r="D107" i="6"/>
  <c r="D106" i="6"/>
  <c r="D92" i="6"/>
  <c r="G115" i="6"/>
  <c r="E115" i="6"/>
  <c r="D103" i="6"/>
  <c r="D101" i="6"/>
  <c r="D53" i="6"/>
  <c r="D116" i="6"/>
  <c r="D100" i="6"/>
  <c r="D115" i="6" l="1"/>
  <c r="F95" i="6" l="1"/>
  <c r="F93" i="6" s="1"/>
  <c r="G95" i="6"/>
  <c r="G93" i="6" s="1"/>
  <c r="E95" i="6" l="1"/>
  <c r="D96" i="6"/>
  <c r="D95" i="6" s="1"/>
  <c r="B5" i="5" l="1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B164" i="5" l="1"/>
  <c r="B133" i="5"/>
  <c r="B129" i="5"/>
  <c r="B54" i="5"/>
  <c r="B17" i="5"/>
  <c r="B9" i="5"/>
  <c r="B7" i="5"/>
  <c r="B16" i="5" l="1"/>
  <c r="B12" i="7"/>
  <c r="J27" i="7"/>
  <c r="J26" i="7"/>
  <c r="B128" i="5"/>
  <c r="B8" i="7" s="1"/>
  <c r="B4" i="5"/>
  <c r="O175" i="2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U54" i="2" l="1"/>
  <c r="J25" i="7"/>
  <c r="J35" i="7" s="1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B3" i="5"/>
  <c r="B4" i="7" s="1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B16" i="7" l="1"/>
  <c r="B21" i="7"/>
  <c r="H97" i="2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B174" i="5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D17" i="3"/>
  <c r="D18" i="3" s="1"/>
  <c r="C17" i="3"/>
  <c r="C18" i="3" s="1"/>
  <c r="C14" i="3"/>
  <c r="F37" i="6" l="1"/>
  <c r="G37" i="6"/>
  <c r="F36" i="6"/>
  <c r="G36" i="6"/>
  <c r="F35" i="6"/>
  <c r="G35" i="6"/>
  <c r="F33" i="6"/>
  <c r="G33" i="6"/>
  <c r="F32" i="6"/>
  <c r="G32" i="6"/>
  <c r="E31" i="6"/>
  <c r="F31" i="6"/>
  <c r="G31" i="6"/>
  <c r="E30" i="6"/>
  <c r="F30" i="6"/>
  <c r="G30" i="6"/>
  <c r="E29" i="6"/>
  <c r="F29" i="6"/>
  <c r="G29" i="6"/>
  <c r="F28" i="6"/>
  <c r="G28" i="6"/>
  <c r="F27" i="6"/>
  <c r="G27" i="6"/>
  <c r="G34" i="6" l="1"/>
  <c r="D30" i="6"/>
  <c r="G26" i="6"/>
  <c r="G25" i="6" s="1"/>
  <c r="F26" i="6"/>
  <c r="D29" i="6"/>
  <c r="D31" i="6"/>
  <c r="F34" i="6"/>
  <c r="G24" i="6" l="1"/>
  <c r="F25" i="6"/>
  <c r="F24" i="6" s="1"/>
  <c r="F21" i="6"/>
  <c r="G21" i="6"/>
  <c r="F12" i="6" l="1"/>
  <c r="G12" i="6"/>
  <c r="F13" i="6"/>
  <c r="G13" i="6"/>
  <c r="F14" i="6"/>
  <c r="G14" i="6"/>
  <c r="F15" i="6"/>
  <c r="G15" i="6"/>
  <c r="G17" i="6"/>
  <c r="F18" i="6"/>
  <c r="G18" i="6"/>
  <c r="G19" i="6"/>
  <c r="F20" i="6"/>
  <c r="G20" i="6"/>
  <c r="F22" i="6"/>
  <c r="G22" i="6"/>
  <c r="E23" i="6"/>
  <c r="F23" i="6"/>
  <c r="G23" i="6"/>
  <c r="G47" i="6"/>
  <c r="F47" i="6"/>
  <c r="E47" i="6"/>
  <c r="G46" i="6"/>
  <c r="F46" i="6"/>
  <c r="G45" i="6"/>
  <c r="F45" i="6"/>
  <c r="G44" i="6"/>
  <c r="F44" i="6"/>
  <c r="G43" i="6"/>
  <c r="F43" i="6"/>
  <c r="G42" i="6"/>
  <c r="F42" i="6"/>
  <c r="G40" i="6"/>
  <c r="F40" i="6"/>
  <c r="G39" i="6"/>
  <c r="F39" i="6"/>
  <c r="G41" i="6" l="1"/>
  <c r="G38" i="6" s="1"/>
  <c r="F41" i="6"/>
  <c r="F38" i="6" s="1"/>
  <c r="D47" i="6"/>
  <c r="D23" i="6"/>
  <c r="G16" i="6"/>
  <c r="G11" i="6"/>
  <c r="F11" i="6"/>
  <c r="G10" i="6" l="1"/>
  <c r="G77" i="6" l="1"/>
  <c r="F77" i="6"/>
  <c r="G76" i="6"/>
  <c r="F76" i="6"/>
  <c r="G75" i="6"/>
  <c r="F75" i="6"/>
  <c r="G73" i="6"/>
  <c r="F73" i="6"/>
  <c r="G72" i="6"/>
  <c r="F72" i="6"/>
  <c r="G52" i="6"/>
  <c r="F52" i="6"/>
  <c r="E52" i="6"/>
  <c r="G51" i="6"/>
  <c r="F51" i="6"/>
  <c r="G49" i="6"/>
  <c r="F49" i="6"/>
  <c r="G74" i="6" l="1"/>
  <c r="F71" i="6"/>
  <c r="G71" i="6"/>
  <c r="F74" i="6"/>
  <c r="G50" i="6"/>
  <c r="G48" i="6" s="1"/>
  <c r="F50" i="6"/>
  <c r="F48" i="6" s="1"/>
  <c r="D52" i="6"/>
  <c r="G70" i="6" l="1"/>
  <c r="F70" i="6"/>
  <c r="F84" i="6" l="1"/>
  <c r="G84" i="6"/>
  <c r="G91" i="6" l="1"/>
  <c r="G90" i="6" s="1"/>
  <c r="F91" i="6"/>
  <c r="F90" i="6" s="1"/>
  <c r="E91" i="6"/>
  <c r="G89" i="6"/>
  <c r="G88" i="6"/>
  <c r="F88" i="6"/>
  <c r="E88" i="6"/>
  <c r="G86" i="6"/>
  <c r="F86" i="6"/>
  <c r="G85" i="6"/>
  <c r="F85" i="6"/>
  <c r="G83" i="6"/>
  <c r="F83" i="6"/>
  <c r="G82" i="6"/>
  <c r="F82" i="6"/>
  <c r="G81" i="6"/>
  <c r="E81" i="6"/>
  <c r="G80" i="6"/>
  <c r="F80" i="6"/>
  <c r="E80" i="6"/>
  <c r="G79" i="6" l="1"/>
  <c r="D88" i="6"/>
  <c r="D80" i="6"/>
  <c r="G87" i="6"/>
  <c r="E90" i="6"/>
  <c r="D91" i="6"/>
  <c r="D90" i="6" s="1"/>
  <c r="G78" i="6" l="1"/>
  <c r="F178" i="6" l="1"/>
  <c r="G178" i="6"/>
  <c r="G177" i="6" l="1"/>
  <c r="F177" i="6"/>
  <c r="E177" i="6"/>
  <c r="G176" i="6"/>
  <c r="G175" i="6" s="1"/>
  <c r="F176" i="6"/>
  <c r="F175" i="6" s="1"/>
  <c r="G174" i="6"/>
  <c r="F174" i="6"/>
  <c r="F172" i="6"/>
  <c r="G171" i="6"/>
  <c r="F171" i="6"/>
  <c r="E171" i="6"/>
  <c r="G170" i="6"/>
  <c r="F170" i="6"/>
  <c r="G162" i="6"/>
  <c r="F162" i="6"/>
  <c r="G160" i="6"/>
  <c r="F160" i="6"/>
  <c r="G158" i="6"/>
  <c r="G155" i="6" s="1"/>
  <c r="F158" i="6"/>
  <c r="F155" i="6" s="1"/>
  <c r="E158" i="6"/>
  <c r="G153" i="6"/>
  <c r="E153" i="6"/>
  <c r="G152" i="6"/>
  <c r="G151" i="6"/>
  <c r="F151" i="6"/>
  <c r="G150" i="6"/>
  <c r="F150" i="6"/>
  <c r="G149" i="6"/>
  <c r="G148" i="6"/>
  <c r="F148" i="6"/>
  <c r="G147" i="6"/>
  <c r="F147" i="6"/>
  <c r="G146" i="6"/>
  <c r="F146" i="6"/>
  <c r="G145" i="6"/>
  <c r="F145" i="6"/>
  <c r="G144" i="6"/>
  <c r="G141" i="6"/>
  <c r="F141" i="6"/>
  <c r="G140" i="6"/>
  <c r="F140" i="6"/>
  <c r="G139" i="6"/>
  <c r="F139" i="6"/>
  <c r="G138" i="6"/>
  <c r="G137" i="6"/>
  <c r="F137" i="6"/>
  <c r="G136" i="6"/>
  <c r="F136" i="6"/>
  <c r="G134" i="6"/>
  <c r="F134" i="6"/>
  <c r="D171" i="6" l="1"/>
  <c r="D158" i="6"/>
  <c r="F159" i="6"/>
  <c r="G159" i="6"/>
  <c r="F169" i="6"/>
  <c r="D177" i="6"/>
  <c r="G143" i="6"/>
  <c r="G142" i="6" s="1"/>
  <c r="G135" i="6"/>
  <c r="G133" i="6" s="1"/>
  <c r="G172" i="6"/>
  <c r="G169" i="6" s="1"/>
  <c r="F144" i="6" l="1"/>
  <c r="F143" i="6" l="1"/>
  <c r="F179" i="6" l="1"/>
  <c r="G69" i="6" l="1"/>
  <c r="F69" i="6"/>
  <c r="G68" i="6"/>
  <c r="F68" i="6"/>
  <c r="E68" i="6"/>
  <c r="G66" i="6"/>
  <c r="F66" i="6"/>
  <c r="E66" i="6"/>
  <c r="G65" i="6"/>
  <c r="F65" i="6"/>
  <c r="G64" i="6"/>
  <c r="F64" i="6"/>
  <c r="F63" i="6"/>
  <c r="G61" i="6"/>
  <c r="F61" i="6"/>
  <c r="G60" i="6"/>
  <c r="F60" i="6"/>
  <c r="E60" i="6"/>
  <c r="G59" i="6"/>
  <c r="G58" i="6"/>
  <c r="F58" i="6"/>
  <c r="G57" i="6"/>
  <c r="F57" i="6"/>
  <c r="D60" i="6" l="1"/>
  <c r="G67" i="6"/>
  <c r="D68" i="6"/>
  <c r="F62" i="6"/>
  <c r="D66" i="6"/>
  <c r="F67" i="6"/>
  <c r="F114" i="6" l="1"/>
  <c r="G105" i="6"/>
  <c r="F105" i="6"/>
  <c r="E105" i="6"/>
  <c r="G102" i="6"/>
  <c r="F102" i="6"/>
  <c r="E102" i="6"/>
  <c r="F99" i="6" l="1"/>
  <c r="G99" i="6"/>
  <c r="E99" i="6"/>
  <c r="D102" i="6"/>
  <c r="D105" i="6"/>
  <c r="D99" i="6" l="1"/>
  <c r="E18" i="6" l="1"/>
  <c r="D18" i="6" s="1"/>
  <c r="E147" i="6" l="1"/>
  <c r="D147" i="6" s="1"/>
  <c r="F183" i="6" l="1"/>
  <c r="G181" i="6" l="1"/>
  <c r="F181" i="6"/>
  <c r="F180" i="6" s="1"/>
  <c r="E36" i="6" l="1"/>
  <c r="D36" i="6" s="1"/>
  <c r="G167" i="6" l="1"/>
  <c r="G164" i="6" l="1"/>
  <c r="G154" i="6" s="1"/>
  <c r="E82" i="6" l="1"/>
  <c r="D82" i="6" l="1"/>
  <c r="E141" i="6" l="1"/>
  <c r="D141" i="6" s="1"/>
  <c r="E86" i="6"/>
  <c r="D86" i="6" s="1"/>
  <c r="E148" i="6" l="1"/>
  <c r="D148" i="6" s="1"/>
  <c r="G126" i="6" l="1"/>
  <c r="E43" i="6" l="1"/>
  <c r="D43" i="6" s="1"/>
  <c r="E33" i="6" l="1"/>
  <c r="D33" i="6" s="1"/>
  <c r="E26" i="6"/>
  <c r="D26" i="6" l="1"/>
  <c r="G132" i="6" l="1"/>
  <c r="F132" i="6"/>
  <c r="G130" i="6"/>
  <c r="F130" i="6"/>
  <c r="G129" i="6"/>
  <c r="F129" i="6"/>
  <c r="G128" i="6"/>
  <c r="F128" i="6"/>
  <c r="G127" i="6"/>
  <c r="F127" i="6"/>
  <c r="G125" i="6"/>
  <c r="F125" i="6"/>
  <c r="G123" i="6"/>
  <c r="F123" i="6"/>
  <c r="E85" i="6"/>
  <c r="D85" i="6" s="1"/>
  <c r="G124" i="6" l="1"/>
  <c r="G122" i="6" s="1"/>
  <c r="E21" i="6" l="1"/>
  <c r="D21" i="6" s="1"/>
  <c r="E22" i="6" l="1"/>
  <c r="D22" i="6" s="1"/>
  <c r="G120" i="6"/>
  <c r="F120" i="6"/>
  <c r="E120" i="6"/>
  <c r="G118" i="6"/>
  <c r="F118" i="6"/>
  <c r="G111" i="6"/>
  <c r="F111" i="6"/>
  <c r="G98" i="6"/>
  <c r="F98" i="6"/>
  <c r="D120" i="6" l="1"/>
  <c r="E150" i="6" l="1"/>
  <c r="D150" i="6" s="1"/>
  <c r="F89" i="6"/>
  <c r="F81" i="6"/>
  <c r="F87" i="6" l="1"/>
  <c r="D81" i="6"/>
  <c r="F79" i="6"/>
  <c r="F78" i="6" l="1"/>
  <c r="E63" i="6" l="1"/>
  <c r="G114" i="6" l="1"/>
  <c r="G108" i="6" s="1"/>
  <c r="G97" i="6" s="1"/>
  <c r="F126" i="6" l="1"/>
  <c r="F124" i="6" s="1"/>
  <c r="F122" i="6" s="1"/>
  <c r="E146" i="6" l="1"/>
  <c r="D146" i="6" s="1"/>
  <c r="U115" i="2" l="1"/>
  <c r="U114" i="2" l="1"/>
  <c r="T115" i="2"/>
  <c r="T114" i="2" s="1"/>
  <c r="T97" i="2" s="1"/>
  <c r="F17" i="6" l="1"/>
  <c r="G63" i="6"/>
  <c r="G62" i="6" l="1"/>
  <c r="D63" i="6"/>
  <c r="E145" i="6" l="1"/>
  <c r="D145" i="6" s="1"/>
  <c r="E140" i="6"/>
  <c r="D140" i="6" s="1"/>
  <c r="U101" i="2" l="1"/>
  <c r="U99" i="2" l="1"/>
  <c r="T101" i="2"/>
  <c r="U110" i="2" l="1"/>
  <c r="T110" i="2" l="1"/>
  <c r="U107" i="2"/>
  <c r="U97" i="2" s="1"/>
  <c r="F110" i="6" l="1"/>
  <c r="E77" i="6" l="1"/>
  <c r="D77" i="6" s="1"/>
  <c r="E89" i="6" l="1"/>
  <c r="E69" i="6"/>
  <c r="F56" i="6"/>
  <c r="F55" i="6" s="1"/>
  <c r="F54" i="6" s="1"/>
  <c r="E87" i="6" l="1"/>
  <c r="D89" i="6"/>
  <c r="D87" i="6" s="1"/>
  <c r="D69" i="6"/>
  <c r="D67" i="6" s="1"/>
  <c r="E67" i="6"/>
  <c r="E173" i="6" l="1"/>
  <c r="D173" i="6" s="1"/>
  <c r="E167" i="6"/>
  <c r="E165" i="6"/>
  <c r="E156" i="6"/>
  <c r="D165" i="6" l="1"/>
  <c r="E155" i="6"/>
  <c r="D156" i="6"/>
  <c r="D155" i="6" s="1"/>
  <c r="E166" i="6"/>
  <c r="D166" i="6" s="1"/>
  <c r="E161" i="6"/>
  <c r="D161" i="6" s="1"/>
  <c r="E178" i="6" l="1"/>
  <c r="D178" i="6" s="1"/>
  <c r="F153" i="6" l="1"/>
  <c r="D153" i="6" s="1"/>
  <c r="E151" i="6"/>
  <c r="D151" i="6" s="1"/>
  <c r="E19" i="6" l="1"/>
  <c r="E64" i="6" l="1"/>
  <c r="D64" i="6" l="1"/>
  <c r="E83" i="6"/>
  <c r="D83" i="6" l="1"/>
  <c r="E15" i="6" l="1"/>
  <c r="D15" i="6" s="1"/>
  <c r="E44" i="6" l="1"/>
  <c r="D44" i="6" s="1"/>
  <c r="E40" i="6"/>
  <c r="D40" i="6" s="1"/>
  <c r="E37" i="6"/>
  <c r="D37" i="6" s="1"/>
  <c r="E27" i="6"/>
  <c r="E14" i="6"/>
  <c r="D14" i="6" s="1"/>
  <c r="E12" i="6"/>
  <c r="D27" i="6" l="1"/>
  <c r="D12" i="6"/>
  <c r="E35" i="6" l="1"/>
  <c r="E32" i="6"/>
  <c r="D32" i="6" s="1"/>
  <c r="E28" i="6"/>
  <c r="E34" i="6" l="1"/>
  <c r="D35" i="6"/>
  <c r="D34" i="6" s="1"/>
  <c r="D28" i="6"/>
  <c r="D25" i="6" s="1"/>
  <c r="E25" i="6"/>
  <c r="D24" i="6" l="1"/>
  <c r="E24" i="6"/>
  <c r="E84" i="6" l="1"/>
  <c r="D84" i="6" l="1"/>
  <c r="D79" i="6" s="1"/>
  <c r="D78" i="6" s="1"/>
  <c r="E79" i="6"/>
  <c r="E78" i="6" s="1"/>
  <c r="E13" i="6"/>
  <c r="E17" i="6"/>
  <c r="F19" i="6"/>
  <c r="E20" i="6"/>
  <c r="D20" i="6" s="1"/>
  <c r="E94" i="6"/>
  <c r="E76" i="6"/>
  <c r="D76" i="6" s="1"/>
  <c r="E75" i="6"/>
  <c r="E73" i="6"/>
  <c r="D73" i="6" s="1"/>
  <c r="E72" i="6"/>
  <c r="E65" i="6"/>
  <c r="E61" i="6"/>
  <c r="D61" i="6" s="1"/>
  <c r="E59" i="6"/>
  <c r="D59" i="6" s="1"/>
  <c r="E58" i="6"/>
  <c r="D58" i="6" s="1"/>
  <c r="E57" i="6"/>
  <c r="D57" i="6" s="1"/>
  <c r="G56" i="6"/>
  <c r="G55" i="6" s="1"/>
  <c r="G54" i="6" s="1"/>
  <c r="E56" i="6"/>
  <c r="E51" i="6"/>
  <c r="E49" i="6"/>
  <c r="E45" i="6"/>
  <c r="D45" i="6" s="1"/>
  <c r="E42" i="6"/>
  <c r="E39" i="6"/>
  <c r="E93" i="6" l="1"/>
  <c r="D94" i="6"/>
  <c r="D93" i="6" s="1"/>
  <c r="E74" i="6"/>
  <c r="D75" i="6"/>
  <c r="D74" i="6" s="1"/>
  <c r="D72" i="6"/>
  <c r="D71" i="6" s="1"/>
  <c r="E71" i="6"/>
  <c r="D65" i="6"/>
  <c r="D62" i="6" s="1"/>
  <c r="E62" i="6"/>
  <c r="E55" i="6"/>
  <c r="D56" i="6"/>
  <c r="D55" i="6" s="1"/>
  <c r="D51" i="6"/>
  <c r="D50" i="6" s="1"/>
  <c r="E50" i="6"/>
  <c r="E48" i="6" s="1"/>
  <c r="D49" i="6"/>
  <c r="D42" i="6"/>
  <c r="D41" i="6" s="1"/>
  <c r="E41" i="6"/>
  <c r="D39" i="6"/>
  <c r="F16" i="6"/>
  <c r="F10" i="6" s="1"/>
  <c r="D19" i="6"/>
  <c r="D17" i="6"/>
  <c r="E16" i="6"/>
  <c r="D13" i="6"/>
  <c r="D11" i="6" s="1"/>
  <c r="E11" i="6"/>
  <c r="E10" i="6" l="1"/>
  <c r="E54" i="6"/>
  <c r="E70" i="6"/>
  <c r="D70" i="6"/>
  <c r="D54" i="6"/>
  <c r="D48" i="6"/>
  <c r="D16" i="6"/>
  <c r="D10" i="6" s="1"/>
  <c r="E138" i="6" l="1"/>
  <c r="E123" i="6" l="1"/>
  <c r="D123" i="6" l="1"/>
  <c r="E132" i="6"/>
  <c r="D132" i="6" s="1"/>
  <c r="E168" i="6" l="1"/>
  <c r="D168" i="6" l="1"/>
  <c r="E164" i="6"/>
  <c r="E126" i="6" l="1"/>
  <c r="D126" i="6" s="1"/>
  <c r="D172" i="6" l="1"/>
  <c r="F167" i="6"/>
  <c r="D163" i="6"/>
  <c r="F164" i="6" l="1"/>
  <c r="F154" i="6" s="1"/>
  <c r="D167" i="6"/>
  <c r="D164" i="6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E137" i="6" l="1"/>
  <c r="D137" i="6" s="1"/>
  <c r="G179" i="6"/>
  <c r="E179" i="6"/>
  <c r="E176" i="6"/>
  <c r="E174" i="6"/>
  <c r="D174" i="6" s="1"/>
  <c r="E170" i="6"/>
  <c r="E162" i="6"/>
  <c r="D162" i="6" s="1"/>
  <c r="E160" i="6"/>
  <c r="F152" i="6"/>
  <c r="E152" i="6"/>
  <c r="F149" i="6"/>
  <c r="E149" i="6"/>
  <c r="E144" i="6"/>
  <c r="E139" i="6"/>
  <c r="D139" i="6" s="1"/>
  <c r="F138" i="6"/>
  <c r="E136" i="6"/>
  <c r="E134" i="6"/>
  <c r="E130" i="6"/>
  <c r="D130" i="6" s="1"/>
  <c r="E129" i="6"/>
  <c r="D129" i="6" s="1"/>
  <c r="E128" i="6"/>
  <c r="D128" i="6" s="1"/>
  <c r="E127" i="6"/>
  <c r="D127" i="6" s="1"/>
  <c r="E125" i="6"/>
  <c r="D149" i="6" l="1"/>
  <c r="D179" i="6"/>
  <c r="E175" i="6"/>
  <c r="D176" i="6"/>
  <c r="D175" i="6" s="1"/>
  <c r="D170" i="6"/>
  <c r="D169" i="6" s="1"/>
  <c r="E169" i="6"/>
  <c r="E159" i="6"/>
  <c r="D160" i="6"/>
  <c r="D159" i="6" s="1"/>
  <c r="F142" i="6"/>
  <c r="D152" i="6"/>
  <c r="E143" i="6"/>
  <c r="E142" i="6" s="1"/>
  <c r="D144" i="6"/>
  <c r="D143" i="6" s="1"/>
  <c r="F135" i="6"/>
  <c r="F133" i="6" s="1"/>
  <c r="D138" i="6"/>
  <c r="D136" i="6"/>
  <c r="E135" i="6"/>
  <c r="E133" i="6" s="1"/>
  <c r="D134" i="6"/>
  <c r="E124" i="6"/>
  <c r="E122" i="6" s="1"/>
  <c r="D125" i="6"/>
  <c r="D124" i="6" s="1"/>
  <c r="D122" i="6" s="1"/>
  <c r="D142" i="6" l="1"/>
  <c r="D154" i="6"/>
  <c r="E154" i="6"/>
  <c r="D135" i="6"/>
  <c r="D133" i="6" s="1"/>
  <c r="E118" i="6" l="1"/>
  <c r="D118" i="6" s="1"/>
  <c r="E110" i="6" l="1"/>
  <c r="D110" i="6" s="1"/>
  <c r="E181" i="6" l="1"/>
  <c r="D181" i="6" l="1"/>
  <c r="E114" i="6" l="1"/>
  <c r="D114" i="6" s="1"/>
  <c r="F113" i="6"/>
  <c r="F108" i="6" s="1"/>
  <c r="F97" i="6" s="1"/>
  <c r="F8" i="6" s="1"/>
  <c r="B9" i="7" s="1"/>
  <c r="E113" i="6"/>
  <c r="E112" i="6"/>
  <c r="D112" i="6" s="1"/>
  <c r="E109" i="6"/>
  <c r="D113" i="6" l="1"/>
  <c r="J31" i="7"/>
  <c r="B10" i="7"/>
  <c r="D109" i="6"/>
  <c r="G183" i="6" l="1"/>
  <c r="G180" i="6" s="1"/>
  <c r="G8" i="6" s="1"/>
  <c r="B13" i="7" s="1"/>
  <c r="E183" i="6"/>
  <c r="B14" i="7" l="1"/>
  <c r="J32" i="7"/>
  <c r="D183" i="6"/>
  <c r="D180" i="6" s="1"/>
  <c r="E180" i="6"/>
  <c r="U178" i="2" l="1"/>
  <c r="T178" i="2" s="1"/>
  <c r="E111" i="6" l="1"/>
  <c r="E98" i="6"/>
  <c r="E46" i="6"/>
  <c r="D111" i="6" l="1"/>
  <c r="D108" i="6" s="1"/>
  <c r="E108" i="6"/>
  <c r="E97" i="6" s="1"/>
  <c r="D98" i="6"/>
  <c r="D46" i="6"/>
  <c r="D38" i="6" s="1"/>
  <c r="E38" i="6"/>
  <c r="E8" i="6" l="1"/>
  <c r="D8" i="6" s="1"/>
  <c r="D97" i="6"/>
  <c r="B5" i="7" l="1"/>
  <c r="B22" i="7" l="1"/>
  <c r="B23" i="7" s="1"/>
  <c r="J30" i="7"/>
  <c r="J36" i="7" s="1"/>
  <c r="J37" i="7" s="1"/>
  <c r="B6" i="7"/>
  <c r="B17" i="7"/>
  <c r="B18" i="7" l="1"/>
  <c r="E62" i="5" l="1"/>
  <c r="M27" i="7" l="1"/>
  <c r="M35" i="7" s="1"/>
  <c r="E16" i="5"/>
  <c r="E3" i="5" s="1"/>
  <c r="E4" i="7" l="1"/>
  <c r="E174" i="5"/>
  <c r="F4" i="7" l="1"/>
  <c r="E21" i="7"/>
  <c r="F21" i="7" s="1"/>
  <c r="E16" i="7"/>
  <c r="F16" i="7" s="1"/>
  <c r="N179" i="6" l="1"/>
  <c r="N89" i="6"/>
  <c r="I179" i="6" l="1"/>
  <c r="K179" i="6" l="1"/>
  <c r="J179" i="6"/>
  <c r="H179" i="6" l="1"/>
  <c r="R89" i="6" l="1"/>
  <c r="M168" i="6" l="1"/>
  <c r="S168" i="6" l="1"/>
  <c r="S164" i="6" s="1"/>
  <c r="S154" i="6" s="1"/>
  <c r="R168" i="6"/>
  <c r="O168" i="6"/>
  <c r="O164" i="6" s="1"/>
  <c r="O154" i="6" s="1"/>
  <c r="N168" i="6"/>
  <c r="L168" i="6" l="1"/>
  <c r="Q141" i="6"/>
  <c r="P141" i="6" s="1"/>
  <c r="I168" i="6" l="1"/>
  <c r="J168" i="6"/>
  <c r="J164" i="6" s="1"/>
  <c r="J154" i="6" s="1"/>
  <c r="J8" i="6" s="1"/>
  <c r="C9" i="7" s="1"/>
  <c r="K168" i="6"/>
  <c r="K164" i="6" s="1"/>
  <c r="K154" i="6" s="1"/>
  <c r="K8" i="6" s="1"/>
  <c r="C13" i="7" s="1"/>
  <c r="K32" i="7" l="1"/>
  <c r="C14" i="7"/>
  <c r="K31" i="7"/>
  <c r="C10" i="7"/>
  <c r="H168" i="6"/>
  <c r="H164" i="6" s="1"/>
  <c r="H154" i="6" s="1"/>
  <c r="I164" i="6"/>
  <c r="I154" i="6" s="1"/>
  <c r="I8" i="6" s="1"/>
  <c r="C5" i="7" l="1"/>
  <c r="H8" i="6"/>
  <c r="C22" i="7" l="1"/>
  <c r="C23" i="7" s="1"/>
  <c r="C17" i="7"/>
  <c r="C18" i="7" s="1"/>
  <c r="K30" i="7"/>
  <c r="K36" i="7" s="1"/>
  <c r="K37" i="7" s="1"/>
  <c r="C6" i="7"/>
  <c r="R88" i="6" l="1"/>
  <c r="Q96" i="6" l="1"/>
  <c r="R87" i="6"/>
  <c r="Q21" i="6"/>
  <c r="P21" i="6" s="1"/>
  <c r="Q95" i="6" l="1"/>
  <c r="P96" i="6"/>
  <c r="P95" i="6" s="1"/>
  <c r="N126" i="6" l="1"/>
  <c r="M49" i="6" l="1"/>
  <c r="M18" i="6"/>
  <c r="L49" i="6" l="1"/>
  <c r="Q47" i="6" l="1"/>
  <c r="P47" i="6" s="1"/>
  <c r="Q33" i="6"/>
  <c r="P33" i="6" s="1"/>
  <c r="N18" i="6"/>
  <c r="L18" i="6" l="1"/>
  <c r="M136" i="6" l="1"/>
  <c r="M127" i="6"/>
  <c r="L127" i="6" s="1"/>
  <c r="M118" i="6"/>
  <c r="L118" i="6" s="1"/>
  <c r="M114" i="6"/>
  <c r="L114" i="6" s="1"/>
  <c r="M113" i="6"/>
  <c r="M112" i="6"/>
  <c r="L112" i="6" s="1"/>
  <c r="M111" i="6"/>
  <c r="M110" i="6"/>
  <c r="L136" i="6" l="1"/>
  <c r="N138" i="6" l="1"/>
  <c r="R126" i="6"/>
  <c r="N110" i="6"/>
  <c r="M89" i="6"/>
  <c r="L89" i="6" s="1"/>
  <c r="M88" i="6"/>
  <c r="M83" i="6"/>
  <c r="L83" i="6" s="1"/>
  <c r="M82" i="6"/>
  <c r="R73" i="6"/>
  <c r="L110" i="6" l="1"/>
  <c r="M109" i="6"/>
  <c r="M87" i="6"/>
  <c r="L82" i="6"/>
  <c r="N63" i="6"/>
  <c r="M108" i="6" l="1"/>
  <c r="L109" i="6"/>
  <c r="L63" i="6"/>
  <c r="N62" i="6"/>
  <c r="N54" i="6" s="1"/>
  <c r="O179" i="6" l="1"/>
  <c r="M178" i="6"/>
  <c r="L178" i="6" s="1"/>
  <c r="O8" i="6" l="1"/>
  <c r="D13" i="7" s="1"/>
  <c r="L32" i="7" l="1"/>
  <c r="D14" i="7"/>
  <c r="N167" i="6" l="1"/>
  <c r="R152" i="6"/>
  <c r="Q147" i="6"/>
  <c r="P147" i="6" s="1"/>
  <c r="M147" i="6"/>
  <c r="N164" i="6" l="1"/>
  <c r="N154" i="6" s="1"/>
  <c r="L147" i="6"/>
  <c r="M167" i="6" l="1"/>
  <c r="M164" i="6" l="1"/>
  <c r="L167" i="6"/>
  <c r="L164" i="6" s="1"/>
  <c r="Q174" i="6" l="1"/>
  <c r="P174" i="6" s="1"/>
  <c r="M158" i="6" l="1"/>
  <c r="M27" i="6"/>
  <c r="L158" i="6" l="1"/>
  <c r="L155" i="6" s="1"/>
  <c r="M155" i="6"/>
  <c r="L27" i="6"/>
  <c r="R110" i="6" l="1"/>
  <c r="M96" i="6" l="1"/>
  <c r="R63" i="6"/>
  <c r="L96" i="6" l="1"/>
  <c r="L95" i="6" s="1"/>
  <c r="M95" i="6"/>
  <c r="R62" i="6"/>
  <c r="R54" i="6" s="1"/>
  <c r="P63" i="6"/>
  <c r="M123" i="6" l="1"/>
  <c r="L123" i="6" l="1"/>
  <c r="Q146" i="6" l="1"/>
  <c r="P146" i="6" s="1"/>
  <c r="N152" i="6"/>
  <c r="Q89" i="6" l="1"/>
  <c r="Q85" i="6"/>
  <c r="P85" i="6" s="1"/>
  <c r="P89" i="6" l="1"/>
  <c r="Q42" i="6"/>
  <c r="P42" i="6" l="1"/>
  <c r="M15" i="6" l="1"/>
  <c r="L15" i="6" l="1"/>
  <c r="M139" i="6" l="1"/>
  <c r="M137" i="6"/>
  <c r="M134" i="6"/>
  <c r="M72" i="6"/>
  <c r="L137" i="6" l="1"/>
  <c r="L134" i="6"/>
  <c r="R179" i="6" l="1"/>
  <c r="R167" i="6"/>
  <c r="R164" i="6" l="1"/>
  <c r="R154" i="6" s="1"/>
  <c r="Q137" i="6"/>
  <c r="P137" i="6" s="1"/>
  <c r="R112" i="6"/>
  <c r="Q94" i="6"/>
  <c r="Q88" i="6"/>
  <c r="Q83" i="6"/>
  <c r="Q77" i="6"/>
  <c r="P77" i="6" s="1"/>
  <c r="Q72" i="6"/>
  <c r="P94" i="6" l="1"/>
  <c r="P93" i="6" s="1"/>
  <c r="Q93" i="6"/>
  <c r="P88" i="6"/>
  <c r="P87" i="6" s="1"/>
  <c r="Q87" i="6"/>
  <c r="P83" i="6"/>
  <c r="Q130" i="6" l="1"/>
  <c r="P130" i="6" s="1"/>
  <c r="M183" i="6" l="1"/>
  <c r="L183" i="6" s="1"/>
  <c r="N181" i="6" l="1"/>
  <c r="N180" i="6" l="1"/>
  <c r="M98" i="6" l="1"/>
  <c r="L98" i="6" l="1"/>
  <c r="Q59" i="6" l="1"/>
  <c r="P59" i="6" s="1"/>
  <c r="M56" i="6" l="1"/>
  <c r="L56" i="6" l="1"/>
  <c r="M120" i="6"/>
  <c r="M73" i="6"/>
  <c r="N72" i="6"/>
  <c r="M65" i="6"/>
  <c r="L65" i="6" s="1"/>
  <c r="M64" i="6"/>
  <c r="M61" i="6"/>
  <c r="L61" i="6" s="1"/>
  <c r="M59" i="6"/>
  <c r="L59" i="6" s="1"/>
  <c r="M58" i="6"/>
  <c r="L58" i="6" s="1"/>
  <c r="M57" i="6"/>
  <c r="L57" i="6" s="1"/>
  <c r="M51" i="6"/>
  <c r="N44" i="6"/>
  <c r="M45" i="6"/>
  <c r="M44" i="6"/>
  <c r="M43" i="6"/>
  <c r="M39" i="6"/>
  <c r="M37" i="6"/>
  <c r="L37" i="6" s="1"/>
  <c r="M36" i="6"/>
  <c r="L36" i="6" s="1"/>
  <c r="M35" i="6"/>
  <c r="M28" i="6"/>
  <c r="L28" i="6" s="1"/>
  <c r="M20" i="6"/>
  <c r="L20" i="6" s="1"/>
  <c r="M17" i="6"/>
  <c r="M12" i="6"/>
  <c r="M13" i="6"/>
  <c r="L13" i="6" s="1"/>
  <c r="L120" i="6" l="1"/>
  <c r="M97" i="6"/>
  <c r="L73" i="6"/>
  <c r="M71" i="6"/>
  <c r="M70" i="6" s="1"/>
  <c r="N71" i="6"/>
  <c r="N70" i="6" s="1"/>
  <c r="L72" i="6"/>
  <c r="L64" i="6"/>
  <c r="L62" i="6" s="1"/>
  <c r="M62" i="6"/>
  <c r="M55" i="6"/>
  <c r="L55" i="6"/>
  <c r="L51" i="6"/>
  <c r="L50" i="6" s="1"/>
  <c r="L48" i="6" s="1"/>
  <c r="M50" i="6"/>
  <c r="M48" i="6" s="1"/>
  <c r="L44" i="6"/>
  <c r="L43" i="6"/>
  <c r="M41" i="6"/>
  <c r="M38" i="6" s="1"/>
  <c r="L39" i="6"/>
  <c r="L35" i="6"/>
  <c r="L34" i="6" s="1"/>
  <c r="M34" i="6"/>
  <c r="M16" i="6"/>
  <c r="L17" i="6"/>
  <c r="L12" i="6"/>
  <c r="L11" i="6" s="1"/>
  <c r="M11" i="6"/>
  <c r="M10" i="6" l="1"/>
  <c r="L54" i="6"/>
  <c r="L71" i="6"/>
  <c r="L70" i="6" s="1"/>
  <c r="M54" i="6"/>
  <c r="M84" i="6" l="1"/>
  <c r="L84" i="6" l="1"/>
  <c r="Q120" i="6" l="1"/>
  <c r="P120" i="6" s="1"/>
  <c r="Q118" i="6"/>
  <c r="P118" i="6" s="1"/>
  <c r="Q114" i="6"/>
  <c r="P114" i="6" s="1"/>
  <c r="R113" i="6"/>
  <c r="Q113" i="6"/>
  <c r="Q112" i="6"/>
  <c r="P112" i="6" s="1"/>
  <c r="R111" i="6"/>
  <c r="Q111" i="6"/>
  <c r="Q110" i="6"/>
  <c r="P110" i="6" s="1"/>
  <c r="R109" i="6"/>
  <c r="Q109" i="6"/>
  <c r="Q98" i="6"/>
  <c r="N113" i="6"/>
  <c r="L113" i="6" s="1"/>
  <c r="N111" i="6"/>
  <c r="M94" i="6"/>
  <c r="Q86" i="6"/>
  <c r="P86" i="6" s="1"/>
  <c r="Q84" i="6"/>
  <c r="P84" i="6" s="1"/>
  <c r="Q82" i="6"/>
  <c r="R81" i="6"/>
  <c r="N88" i="6"/>
  <c r="M86" i="6"/>
  <c r="N81" i="6"/>
  <c r="Q73" i="6"/>
  <c r="R72" i="6"/>
  <c r="P113" i="6" l="1"/>
  <c r="Q108" i="6"/>
  <c r="Q97" i="6" s="1"/>
  <c r="P109" i="6"/>
  <c r="L111" i="6"/>
  <c r="L108" i="6" s="1"/>
  <c r="L97" i="6" s="1"/>
  <c r="N108" i="6"/>
  <c r="N97" i="6" s="1"/>
  <c r="R108" i="6"/>
  <c r="R97" i="6" s="1"/>
  <c r="P111" i="6"/>
  <c r="P98" i="6"/>
  <c r="L94" i="6"/>
  <c r="L93" i="6" s="1"/>
  <c r="M93" i="6"/>
  <c r="N87" i="6"/>
  <c r="L88" i="6"/>
  <c r="L87" i="6" s="1"/>
  <c r="L86" i="6"/>
  <c r="M79" i="6"/>
  <c r="M78" i="6" s="1"/>
  <c r="P82" i="6"/>
  <c r="Q79" i="6"/>
  <c r="Q78" i="6" s="1"/>
  <c r="R79" i="6"/>
  <c r="R78" i="6" s="1"/>
  <c r="P81" i="6"/>
  <c r="L81" i="6"/>
  <c r="N79" i="6"/>
  <c r="P73" i="6"/>
  <c r="Q71" i="6"/>
  <c r="Q70" i="6" s="1"/>
  <c r="R71" i="6"/>
  <c r="R70" i="6" s="1"/>
  <c r="P72" i="6"/>
  <c r="Q69" i="6"/>
  <c r="Q65" i="6"/>
  <c r="P65" i="6" s="1"/>
  <c r="Q64" i="6"/>
  <c r="Q61" i="6"/>
  <c r="P61" i="6" s="1"/>
  <c r="Q58" i="6"/>
  <c r="P58" i="6" s="1"/>
  <c r="Q57" i="6"/>
  <c r="P57" i="6" s="1"/>
  <c r="S56" i="6"/>
  <c r="S55" i="6" s="1"/>
  <c r="S54" i="6" s="1"/>
  <c r="Q56" i="6"/>
  <c r="Q51" i="6"/>
  <c r="Q49" i="6"/>
  <c r="Q46" i="6"/>
  <c r="P46" i="6" s="1"/>
  <c r="R45" i="6"/>
  <c r="Q45" i="6"/>
  <c r="R44" i="6"/>
  <c r="Q44" i="6"/>
  <c r="Q43" i="6"/>
  <c r="Q40" i="6"/>
  <c r="P40" i="6" s="1"/>
  <c r="Q39" i="6"/>
  <c r="N45" i="6"/>
  <c r="Q37" i="6"/>
  <c r="P37" i="6" s="1"/>
  <c r="Q36" i="6"/>
  <c r="P36" i="6" s="1"/>
  <c r="Q35" i="6"/>
  <c r="Q28" i="6"/>
  <c r="P28" i="6" s="1"/>
  <c r="Q27" i="6"/>
  <c r="P27" i="6" s="1"/>
  <c r="Q26" i="6"/>
  <c r="Q22" i="6"/>
  <c r="P22" i="6" s="1"/>
  <c r="Q20" i="6"/>
  <c r="P20" i="6" s="1"/>
  <c r="R19" i="6"/>
  <c r="Q19" i="6"/>
  <c r="R18" i="6"/>
  <c r="Q17" i="6"/>
  <c r="Q15" i="6"/>
  <c r="P15" i="6" s="1"/>
  <c r="Q14" i="6"/>
  <c r="P14" i="6" s="1"/>
  <c r="Q13" i="6"/>
  <c r="P13" i="6" s="1"/>
  <c r="Q12" i="6"/>
  <c r="N19" i="6"/>
  <c r="N78" i="6" l="1"/>
  <c r="P79" i="6"/>
  <c r="P78" i="6" s="1"/>
  <c r="P71" i="6"/>
  <c r="P70" i="6" s="1"/>
  <c r="P108" i="6"/>
  <c r="P97" i="6" s="1"/>
  <c r="L79" i="6"/>
  <c r="L78" i="6" s="1"/>
  <c r="Q67" i="6"/>
  <c r="P69" i="6"/>
  <c r="P67" i="6" s="1"/>
  <c r="Q62" i="6"/>
  <c r="P64" i="6"/>
  <c r="P62" i="6" s="1"/>
  <c r="P56" i="6"/>
  <c r="P55" i="6" s="1"/>
  <c r="Q55" i="6"/>
  <c r="Q50" i="6"/>
  <c r="Q48" i="6" s="1"/>
  <c r="P51" i="6"/>
  <c r="P50" i="6" s="1"/>
  <c r="P49" i="6"/>
  <c r="P45" i="6"/>
  <c r="R41" i="6"/>
  <c r="R38" i="6" s="1"/>
  <c r="L45" i="6"/>
  <c r="L41" i="6" s="1"/>
  <c r="L38" i="6" s="1"/>
  <c r="N41" i="6"/>
  <c r="N38" i="6" s="1"/>
  <c r="P44" i="6"/>
  <c r="P43" i="6"/>
  <c r="Q41" i="6"/>
  <c r="Q38" i="6" s="1"/>
  <c r="P39" i="6"/>
  <c r="Q34" i="6"/>
  <c r="P35" i="6"/>
  <c r="P34" i="6" s="1"/>
  <c r="P26" i="6"/>
  <c r="P25" i="6" s="1"/>
  <c r="Q25" i="6"/>
  <c r="M26" i="6"/>
  <c r="P19" i="6"/>
  <c r="L19" i="6"/>
  <c r="L16" i="6" s="1"/>
  <c r="L10" i="6" s="1"/>
  <c r="N16" i="6"/>
  <c r="N10" i="6" s="1"/>
  <c r="P18" i="6"/>
  <c r="R16" i="6"/>
  <c r="R10" i="6" s="1"/>
  <c r="P17" i="6"/>
  <c r="Q16" i="6"/>
  <c r="Q11" i="6"/>
  <c r="P12" i="6"/>
  <c r="P11" i="6" s="1"/>
  <c r="Q54" i="6" l="1"/>
  <c r="P54" i="6"/>
  <c r="P48" i="6"/>
  <c r="P41" i="6"/>
  <c r="P38" i="6" s="1"/>
  <c r="Q24" i="6"/>
  <c r="P24" i="6"/>
  <c r="L26" i="6"/>
  <c r="L25" i="6" s="1"/>
  <c r="L24" i="6" s="1"/>
  <c r="M25" i="6"/>
  <c r="M24" i="6" s="1"/>
  <c r="Q10" i="6"/>
  <c r="P16" i="6"/>
  <c r="P10" i="6" s="1"/>
  <c r="Q165" i="6" l="1"/>
  <c r="P165" i="6" l="1"/>
  <c r="Q138" i="6" l="1"/>
  <c r="P138" i="6" s="1"/>
  <c r="M181" i="6" l="1"/>
  <c r="M179" i="6"/>
  <c r="M176" i="6"/>
  <c r="M173" i="6"/>
  <c r="L173" i="6" s="1"/>
  <c r="M171" i="6"/>
  <c r="M152" i="6"/>
  <c r="L152" i="6" s="1"/>
  <c r="M151" i="6"/>
  <c r="L151" i="6" s="1"/>
  <c r="M149" i="6"/>
  <c r="M144" i="6"/>
  <c r="M138" i="6"/>
  <c r="M131" i="6"/>
  <c r="L131" i="6" s="1"/>
  <c r="M130" i="6"/>
  <c r="L130" i="6" s="1"/>
  <c r="M128" i="6"/>
  <c r="L128" i="6" s="1"/>
  <c r="M125" i="6"/>
  <c r="N125" i="6"/>
  <c r="N124" i="6" s="1"/>
  <c r="N122" i="6" s="1"/>
  <c r="M180" i="6" l="1"/>
  <c r="L181" i="6"/>
  <c r="L180" i="6" s="1"/>
  <c r="L179" i="6"/>
  <c r="L176" i="6"/>
  <c r="L175" i="6" s="1"/>
  <c r="M175" i="6"/>
  <c r="M169" i="6"/>
  <c r="L171" i="6"/>
  <c r="L169" i="6" s="1"/>
  <c r="L144" i="6"/>
  <c r="M143" i="6"/>
  <c r="M142" i="6" s="1"/>
  <c r="L138" i="6"/>
  <c r="M135" i="6"/>
  <c r="M133" i="6" s="1"/>
  <c r="L125" i="6"/>
  <c r="L154" i="6" l="1"/>
  <c r="M154" i="6"/>
  <c r="M126" i="6" l="1"/>
  <c r="L126" i="6" l="1"/>
  <c r="L124" i="6" s="1"/>
  <c r="L122" i="6" s="1"/>
  <c r="M124" i="6"/>
  <c r="M122" i="6" s="1"/>
  <c r="Q131" i="6"/>
  <c r="P131" i="6" s="1"/>
  <c r="M8" i="6" l="1"/>
  <c r="S183" i="6"/>
  <c r="S180" i="6" s="1"/>
  <c r="Q183" i="6"/>
  <c r="R181" i="6"/>
  <c r="R180" i="6" s="1"/>
  <c r="Q181" i="6"/>
  <c r="S179" i="6"/>
  <c r="S8" i="6" s="1"/>
  <c r="E13" i="7" s="1"/>
  <c r="Q179" i="6"/>
  <c r="Q178" i="6"/>
  <c r="P178" i="6" s="1"/>
  <c r="Q176" i="6"/>
  <c r="Q173" i="6"/>
  <c r="P173" i="6" s="1"/>
  <c r="Q172" i="6"/>
  <c r="P172" i="6" s="1"/>
  <c r="Q171" i="6"/>
  <c r="P171" i="6" s="1"/>
  <c r="Q170" i="6"/>
  <c r="Q168" i="6"/>
  <c r="P168" i="6" s="1"/>
  <c r="Q167" i="6"/>
  <c r="Q163" i="6"/>
  <c r="P163" i="6" s="1"/>
  <c r="Q161" i="6"/>
  <c r="P161" i="6" s="1"/>
  <c r="Q160" i="6"/>
  <c r="Q158" i="6"/>
  <c r="P158" i="6" s="1"/>
  <c r="Q156" i="6"/>
  <c r="R153" i="6"/>
  <c r="P153" i="6" s="1"/>
  <c r="Q152" i="6"/>
  <c r="P152" i="6" s="1"/>
  <c r="Q151" i="6"/>
  <c r="P151" i="6" s="1"/>
  <c r="Q150" i="6"/>
  <c r="P150" i="6" s="1"/>
  <c r="R149" i="6"/>
  <c r="Q149" i="6"/>
  <c r="Q145" i="6"/>
  <c r="P145" i="6" s="1"/>
  <c r="Q144" i="6"/>
  <c r="N149" i="6"/>
  <c r="L149" i="6" s="1"/>
  <c r="N146" i="6"/>
  <c r="R142" i="6" l="1"/>
  <c r="P183" i="6"/>
  <c r="Q180" i="6"/>
  <c r="P181" i="6"/>
  <c r="E14" i="7"/>
  <c r="M32" i="7"/>
  <c r="F13" i="7"/>
  <c r="P179" i="6"/>
  <c r="Q175" i="6"/>
  <c r="P176" i="6"/>
  <c r="P175" i="6" s="1"/>
  <c r="P170" i="6"/>
  <c r="P169" i="6" s="1"/>
  <c r="Q169" i="6"/>
  <c r="P167" i="6"/>
  <c r="P164" i="6" s="1"/>
  <c r="Q164" i="6"/>
  <c r="Q159" i="6"/>
  <c r="P160" i="6"/>
  <c r="P159" i="6" s="1"/>
  <c r="Q155" i="6"/>
  <c r="P156" i="6"/>
  <c r="P155" i="6" s="1"/>
  <c r="P149" i="6"/>
  <c r="L146" i="6"/>
  <c r="L143" i="6" s="1"/>
  <c r="L142" i="6" s="1"/>
  <c r="N143" i="6"/>
  <c r="N142" i="6" s="1"/>
  <c r="P144" i="6"/>
  <c r="P143" i="6" s="1"/>
  <c r="Q143" i="6"/>
  <c r="Q142" i="6" s="1"/>
  <c r="D5" i="7"/>
  <c r="R139" i="6"/>
  <c r="R135" i="6" s="1"/>
  <c r="R133" i="6" s="1"/>
  <c r="Q139" i="6"/>
  <c r="Q136" i="6"/>
  <c r="Q134" i="6"/>
  <c r="N139" i="6"/>
  <c r="Q132" i="6"/>
  <c r="P132" i="6" s="1"/>
  <c r="Q129" i="6"/>
  <c r="P129" i="6" s="1"/>
  <c r="Q128" i="6"/>
  <c r="P128" i="6" s="1"/>
  <c r="Q127" i="6"/>
  <c r="P127" i="6" s="1"/>
  <c r="Q126" i="6"/>
  <c r="P126" i="6" s="1"/>
  <c r="R125" i="6"/>
  <c r="R124" i="6" s="1"/>
  <c r="R122" i="6" s="1"/>
  <c r="Q125" i="6"/>
  <c r="Q123" i="6"/>
  <c r="R8" i="6" l="1"/>
  <c r="E9" i="7" s="1"/>
  <c r="P139" i="6"/>
  <c r="P142" i="6"/>
  <c r="P180" i="6"/>
  <c r="P154" i="6"/>
  <c r="Q154" i="6"/>
  <c r="N135" i="6"/>
  <c r="N133" i="6" s="1"/>
  <c r="L139" i="6"/>
  <c r="L135" i="6" s="1"/>
  <c r="L133" i="6" s="1"/>
  <c r="P136" i="6"/>
  <c r="Q135" i="6"/>
  <c r="Q133" i="6" s="1"/>
  <c r="P134" i="6"/>
  <c r="L30" i="7"/>
  <c r="D6" i="7"/>
  <c r="P125" i="6"/>
  <c r="P124" i="6" s="1"/>
  <c r="Q124" i="6"/>
  <c r="Q122" i="6" s="1"/>
  <c r="P123" i="6"/>
  <c r="E10" i="7" l="1"/>
  <c r="M31" i="7"/>
  <c r="P135" i="6"/>
  <c r="P133" i="6" s="1"/>
  <c r="N8" i="6"/>
  <c r="P122" i="6"/>
  <c r="Q8" i="6"/>
  <c r="D9" i="7" l="1"/>
  <c r="L8" i="6"/>
  <c r="P8" i="6"/>
  <c r="E5" i="7"/>
  <c r="D10" i="7" l="1"/>
  <c r="L31" i="7"/>
  <c r="L36" i="7" s="1"/>
  <c r="L37" i="7" s="1"/>
  <c r="D17" i="7"/>
  <c r="D18" i="7" s="1"/>
  <c r="F9" i="7"/>
  <c r="D22" i="7"/>
  <c r="D23" i="7" s="1"/>
  <c r="E17" i="7"/>
  <c r="E6" i="7"/>
  <c r="F5" i="7"/>
  <c r="E22" i="7"/>
  <c r="M30" i="7"/>
  <c r="M36" i="7" s="1"/>
  <c r="M37" i="7" s="1"/>
  <c r="E23" i="7" l="1"/>
  <c r="F22" i="7"/>
  <c r="F17" i="7"/>
  <c r="E18" i="7"/>
</calcChain>
</file>

<file path=xl/comments1.xml><?xml version="1.0" encoding="utf-8"?>
<comments xmlns="http://schemas.openxmlformats.org/spreadsheetml/2006/main">
  <authors>
    <author>kovacikova</author>
  </authors>
  <commentList>
    <comment ref="D55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poistné 1 000 EUR
stávkové kanc. 6 000 EUR
rulety 3 000 EUR
videohry 130 000 EUR</t>
        </r>
      </text>
    </comment>
  </commentList>
</comments>
</file>

<file path=xl/comments2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<sst xmlns="http://schemas.openxmlformats.org/spreadsheetml/2006/main" count="1201" uniqueCount="806">
  <si>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</si>
  <si>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</si>
  <si>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</si>
  <si>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</si>
  <si>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</si>
  <si>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</si>
  <si>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</si>
  <si>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</si>
  <si>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</si>
  <si>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</si>
  <si>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</si>
  <si>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</si>
  <si>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</si>
  <si>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</si>
  <si>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</si>
  <si>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</si>
  <si>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</si>
  <si>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</si>
  <si>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</si>
  <si>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</si>
  <si>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</si>
  <si>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</si>
  <si>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</si>
  <si>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</si>
  <si>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</si>
  <si>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</si>
  <si>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</si>
  <si>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</si>
  <si>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</si>
  <si>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</si>
  <si>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</si>
  <si>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</si>
  <si>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</si>
  <si>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</si>
  <si>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</si>
  <si>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</si>
  <si>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</si>
  <si>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</si>
  <si>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</si>
  <si>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</si>
  <si>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</si>
  <si>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</si>
  <si>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</si>
  <si>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</si>
  <si>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</si>
  <si>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</si>
  <si>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</si>
  <si>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</si>
  <si>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</si>
  <si>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</si>
  <si>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</si>
  <si>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</si>
  <si>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</si>
  <si>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</si>
  <si>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</si>
  <si>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</si>
  <si>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</si>
  <si>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</si>
  <si>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</si>
  <si>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</si>
  <si>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</si>
  <si>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</si>
  <si>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</si>
  <si>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</si>
  <si>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</si>
  <si>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</si>
  <si>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</si>
  <si>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</si>
  <si>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</si>
  <si>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</si>
  <si>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</si>
  <si>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</si>
  <si>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</si>
  <si>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</si>
  <si>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</si>
  <si>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</si>
  <si>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</si>
  <si>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</si>
  <si>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</si>
  <si>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</si>
  <si>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</si>
  <si>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</si>
  <si>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</si>
  <si>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</si>
  <si>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</si>
  <si>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</si>
  <si>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</si>
  <si>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</si>
  <si>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</si>
  <si>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</si>
  <si>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</si>
  <si>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</si>
  <si>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</si>
  <si>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</si>
  <si>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</si>
  <si>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</si>
  <si>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</si>
  <si>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</si>
  <si>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</si>
  <si>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</si>
  <si>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</si>
  <si>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</si>
  <si>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</si>
  <si>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</si>
  <si>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</si>
  <si>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</si>
  <si>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</si>
  <si>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</si>
  <si>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</si>
  <si>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</si>
  <si>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</si>
  <si>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</si>
  <si>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</si>
  <si>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</si>
  <si>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</si>
  <si>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</si>
  <si>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</si>
  <si>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</si>
  <si>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</si>
  <si>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</si>
  <si>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</si>
  <si>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</si>
  <si>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</si>
  <si>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</si>
  <si>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</si>
  <si>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</si>
  <si>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</si>
  <si>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</si>
  <si>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</si>
  <si>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</si>
  <si>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</si>
  <si>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</si>
  <si>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</si>
  <si>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</si>
  <si>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</si>
  <si>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</si>
  <si>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</si>
  <si>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</si>
  <si>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</si>
  <si>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</si>
  <si>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</si>
  <si>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</si>
  <si>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</si>
  <si>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</si>
  <si>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</si>
  <si>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</si>
  <si>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</si>
  <si>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</si>
  <si>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</si>
  <si>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</si>
  <si>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</si>
  <si>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</si>
  <si>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</si>
  <si>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</si>
  <si>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</si>
  <si>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</si>
  <si>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</si>
  <si>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</si>
  <si>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</si>
  <si>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</si>
  <si>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</si>
  <si>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</si>
  <si>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</si>
  <si>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</si>
  <si>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</si>
  <si>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</si>
  <si>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</si>
  <si>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</si>
  <si>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</si>
  <si>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</si>
  <si>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</si>
  <si>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</si>
  <si>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</si>
  <si>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</si>
  <si>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</si>
  <si>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</si>
  <si>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</si>
  <si>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</si>
  <si>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</si>
  <si>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</si>
  <si>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</si>
  <si>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</si>
  <si>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</si>
  <si>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</si>
  <si>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</si>
  <si>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</si>
  <si>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</si>
  <si>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</si>
  <si>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</si>
  <si>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</si>
  <si>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</si>
  <si>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</si>
  <si>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</si>
  <si>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</si>
  <si>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</si>
  <si>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</si>
  <si>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</si>
  <si>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</si>
  <si>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</si>
  <si>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</si>
  <si>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</si>
  <si>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</si>
  <si>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</si>
  <si>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</si>
  <si>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</si>
  <si>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</si>
  <si>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</si>
  <si>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</si>
  <si>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</si>
  <si>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</si>
  <si>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</si>
  <si>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</si>
  <si>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</si>
  <si>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</si>
  <si>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</si>
  <si>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</si>
  <si>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</si>
  <si>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</si>
  <si>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</si>
  <si>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</si>
  <si>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</si>
  <si>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</si>
  <si>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</si>
  <si>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</si>
  <si>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</si>
  <si>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</si>
  <si>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</si>
  <si>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</si>
  <si>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</si>
  <si>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</si>
  <si>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</si>
  <si>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</si>
  <si>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</si>
  <si>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</si>
  <si>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</si>
  <si>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</si>
  <si>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</si>
  <si>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</si>
  <si>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</si>
  <si>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</si>
  <si>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</si>
  <si>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</si>
  <si>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</si>
  <si>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</si>
  <si>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</si>
  <si>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</si>
  <si>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</si>
  <si>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</si>
  <si>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</si>
  <si>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</si>
  <si>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</si>
  <si>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</si>
  <si>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</si>
  <si>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</si>
  <si>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</si>
  <si>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</si>
  <si>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</si>
  <si>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</si>
  <si>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</si>
  <si>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</si>
  <si>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</si>
  <si>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</si>
  <si>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</si>
  <si>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</si>
  <si>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</si>
  <si>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</si>
  <si>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</si>
  <si>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</si>
  <si>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</si>
  <si>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</si>
  <si>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</si>
  <si>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</si>
  <si>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</si>
  <si>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</si>
  <si>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</si>
  <si>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</si>
  <si>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</si>
  <si>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</si>
  <si>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</si>
  <si>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</si>
  <si>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</si>
  <si>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</si>
  <si>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</si>
  <si>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</si>
  <si>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</si>
  <si>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</si>
  <si>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</si>
  <si>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</si>
  <si>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</si>
  <si>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</si>
  <si>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</si>
  <si>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</si>
  <si>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</si>
  <si>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</si>
  <si>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</si>
  <si>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</si>
  <si>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</si>
  <si>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</si>
  <si>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</si>
  <si>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</si>
  <si>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</si>
  <si>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</si>
  <si>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</si>
  <si>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</si>
  <si>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</si>
  <si>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</si>
  <si>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</si>
  <si>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</si>
  <si>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</si>
  <si>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</si>
  <si>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</si>
  <si>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</si>
  <si>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</si>
  <si>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</si>
  <si>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</si>
  <si>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</si>
  <si>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</si>
  <si>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</si>
  <si>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</si>
  <si>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</si>
  <si>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</si>
  <si>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</si>
  <si>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</si>
  <si>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</si>
  <si>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</si>
  <si>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</si>
  <si>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</si>
  <si>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</si>
  <si>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</si>
  <si>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</si>
  <si>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</si>
  <si>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</si>
  <si>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</si>
  <si>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</si>
  <si>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</si>
  <si>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</si>
  <si>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</si>
  <si>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</si>
  <si>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</si>
  <si>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</si>
  <si>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</si>
  <si>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</si>
  <si>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</si>
  <si>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</si>
  <si>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</si>
  <si>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</si>
  <si>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</si>
  <si>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</si>
  <si>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</si>
  <si>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</si>
  <si>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</si>
  <si>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</si>
  <si>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</si>
  <si>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</si>
  <si>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</si>
  <si>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</si>
  <si>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</si>
  <si>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</si>
  <si>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</si>
  <si>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</si>
  <si>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</si>
  <si>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</si>
  <si>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</si>
  <si>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</si>
  <si>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</si>
  <si>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</si>
  <si>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</si>
  <si>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</si>
  <si>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</si>
  <si>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</si>
  <si>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</si>
  <si>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</si>
  <si>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</si>
  <si>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</si>
  <si>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</si>
  <si>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</si>
  <si>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</si>
  <si>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</si>
  <si>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</si>
  <si>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</si>
  <si>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</si>
  <si>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</si>
  <si>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</si>
  <si>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</si>
  <si>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</si>
  <si>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311 sponzorstvo ENVI-PACK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</si>
  <si>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</si>
  <si>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</si>
  <si>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</si>
  <si>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</si>
  <si>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</si>
  <si>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</si>
  <si>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</si>
  <si>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</si>
  <si>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</si>
  <si>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</si>
  <si>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</si>
  <si>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321 združené investičné prostriedky - chodníky</t>
  </si>
  <si>
    <t>Spolu</t>
  </si>
  <si>
    <t>311 stojiská kontajnerov</t>
  </si>
  <si>
    <t>311 grant artézske studne</t>
  </si>
  <si>
    <t>311 grant stop čiernym skládkam</t>
  </si>
  <si>
    <t>312001 dotácie na opravu ciest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</si>
  <si>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</si>
  <si>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</si>
  <si>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</si>
  <si>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</si>
  <si>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</si>
  <si>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</si>
  <si>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</si>
  <si>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</si>
  <si>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</si>
  <si>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</si>
  <si>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</si>
  <si>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</si>
  <si>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</si>
  <si>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</si>
  <si>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Kapitál. 
700</t>
  </si>
  <si>
    <t>311 grant pontis fit priestor</t>
  </si>
  <si>
    <t>312008 NSK večianske slávnosti</t>
  </si>
  <si>
    <t>312001 dotácia chránená dielňa</t>
  </si>
  <si>
    <t xml:space="preserve">Rozdiel </t>
  </si>
  <si>
    <t>292 športové a kultúrne podujatia V4</t>
  </si>
  <si>
    <t>212002 prenájom VP</t>
  </si>
  <si>
    <t>311 grant Cena Jána Johanidesa</t>
  </si>
  <si>
    <t>312008 NSK športový deň</t>
  </si>
  <si>
    <t xml:space="preserve">311 grant PRINED 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</si>
  <si>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</si>
  <si>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</si>
  <si>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</si>
  <si>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</si>
  <si>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</si>
  <si>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</si>
  <si>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</si>
  <si>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</si>
  <si>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</si>
  <si>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</si>
  <si>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</si>
  <si>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</si>
  <si>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</si>
  <si>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</si>
  <si>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</si>
  <si>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</si>
  <si>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</si>
  <si>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</si>
  <si>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321, 341 Verejné osvetlenie</t>
  </si>
  <si>
    <t>321,341 Domov dôchodcov Šaľa</t>
  </si>
  <si>
    <t>321,341 opatrenia na zlepšenie ovzdušia v meste Šaľa</t>
  </si>
  <si>
    <t>321,341 revitalizácia verejných priestranstiev CMZ Šaľa</t>
  </si>
  <si>
    <t>321 nákup osobného automobilu - OSS</t>
  </si>
  <si>
    <t>321 grant Reiffeisen detské ihrisko</t>
  </si>
  <si>
    <t>Bežné a kapitálové príjmy</t>
  </si>
  <si>
    <t>Bežné a kapitálové výdavky</t>
  </si>
  <si>
    <t>321 rozšírenie kamerového systému</t>
  </si>
  <si>
    <t>321 grant bibliobox</t>
  </si>
  <si>
    <t>222 úroky z omeškania</t>
  </si>
  <si>
    <t>292 dobropisy</t>
  </si>
  <si>
    <t>312001 rekonštrukcia sociálnych zariadení</t>
  </si>
  <si>
    <t xml:space="preserve">312001 dobrovolnícka služba 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</si>
  <si>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</si>
  <si>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</si>
  <si>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</si>
  <si>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</si>
  <si>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</si>
  <si>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</si>
  <si>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</si>
  <si>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</si>
  <si>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321 dar Duslo ihrisko</t>
  </si>
  <si>
    <t xml:space="preserve">321 výmena sedadiel v kinosále </t>
  </si>
  <si>
    <t>500 úver na DD</t>
  </si>
  <si>
    <t>312001 dotácie voľby, referendum</t>
  </si>
  <si>
    <t>311 grant VO 2. etapa bežné</t>
  </si>
  <si>
    <t>311 grant chránená dielňa</t>
  </si>
  <si>
    <t>311 grant MsKSR na nákup kníh MsKJJ</t>
  </si>
  <si>
    <t>292 refundácie, kolky, ostatné príjmy, Nemčeková</t>
  </si>
  <si>
    <t>Príjmy 100-500</t>
  </si>
  <si>
    <t>Výdavky 600-800</t>
  </si>
  <si>
    <t>1.</t>
  </si>
  <si>
    <t>04.4.3. 716</t>
  </si>
  <si>
    <t>3.</t>
  </si>
  <si>
    <t>01.1.1. 717 002</t>
  </si>
  <si>
    <t>06.4.0. 717 002</t>
  </si>
  <si>
    <t>Modernizácia VO</t>
  </si>
  <si>
    <t>7.</t>
  </si>
  <si>
    <t>04.5.1. 717 002</t>
  </si>
  <si>
    <t>9.</t>
  </si>
  <si>
    <t>09.</t>
  </si>
  <si>
    <t xml:space="preserve">MsKS - prenosné zastrešenie </t>
  </si>
  <si>
    <t>06.2.0. 717 001</t>
  </si>
  <si>
    <t>12.</t>
  </si>
  <si>
    <t>15.</t>
  </si>
  <si>
    <t>5 % spoluúčasť mesta na projektoch EÚ</t>
  </si>
  <si>
    <t>Kapitálové výdavky spolu</t>
  </si>
  <si>
    <t xml:space="preserve">Projektová dokumentácia </t>
  </si>
  <si>
    <t>10.</t>
  </si>
  <si>
    <t>08.2.0. 717 003</t>
  </si>
  <si>
    <t>321 dotácia MDVaRR SR na byty</t>
  </si>
  <si>
    <t>Domov dôchodcov - rozpočtová org.</t>
  </si>
  <si>
    <t>Zariadenie pre seniorov</t>
  </si>
  <si>
    <t>14.</t>
  </si>
  <si>
    <t>06.6.0. 717 001</t>
  </si>
  <si>
    <t>Technická vybavenosť k bytom - vlastné zdroje</t>
  </si>
  <si>
    <t>311 grant MŠ Bernolákova</t>
  </si>
  <si>
    <t>321 grant ZŠ Hollého</t>
  </si>
  <si>
    <t>312001 dotácia cest., stravné, UP, vzd. pouk., štip.školu v prírode, lyžiarsky</t>
  </si>
  <si>
    <t>311 sponzorsto MsKS</t>
  </si>
  <si>
    <t>223 vlastné príjmy škôl a školských zariadení</t>
  </si>
  <si>
    <t xml:space="preserve">311 Grant pontis </t>
  </si>
  <si>
    <t>312001 decentralizačná dotácia - register obyvateľov, reg. adries</t>
  </si>
  <si>
    <t>311 grant telocvične</t>
  </si>
  <si>
    <t>311 grant MVSR - syntetická DNA</t>
  </si>
  <si>
    <t>311 grant Duslo</t>
  </si>
  <si>
    <t>311 grant COOP Jednota</t>
  </si>
  <si>
    <t>321 grant SPP</t>
  </si>
  <si>
    <t>321 grant MVSR - syntetická DNA</t>
  </si>
  <si>
    <t>321 grant ZŠ Ľ. Štúra - rekonštrukcia telocvične</t>
  </si>
  <si>
    <t>311 grant obnova kaplnky - SLSP, cirkev</t>
  </si>
  <si>
    <t>311 grant OZ Spectra - hokej</t>
  </si>
  <si>
    <t>312001 audiovizuálny fond</t>
  </si>
  <si>
    <t>312001 NSK kultúrne podujatia</t>
  </si>
  <si>
    <t>311 grant ZVaK</t>
  </si>
  <si>
    <t>321 grant OZ Spectra - MsKS audiotechnika</t>
  </si>
  <si>
    <t>311 grant SLSP - Tvoríme tradične</t>
  </si>
  <si>
    <t>6.</t>
  </si>
  <si>
    <t>311 grant Reiffeisen</t>
  </si>
  <si>
    <t>311 grant NsK - cestovný ruch, šport</t>
  </si>
  <si>
    <t xml:space="preserve"> plnenie 2016</t>
  </si>
  <si>
    <t>skutočnosť  2016</t>
  </si>
  <si>
    <t>skutočnosť 2016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</si>
  <si>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</si>
  <si>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</si>
  <si>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</si>
  <si>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</si>
  <si>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</si>
  <si>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Klienstke centrum</t>
  </si>
  <si>
    <t>Zníženie energtickej náročnosti MsÚ</t>
  </si>
  <si>
    <t>Stanovištia kontajnerov</t>
  </si>
  <si>
    <t xml:space="preserve">Rekonštrukcia ciest </t>
  </si>
  <si>
    <t>Rekonštrukcia chodníkov</t>
  </si>
  <si>
    <t>ZŠ Ľ. Štúra so ŠJ a ŠKD- rekonšt. soc. zariadení a kanaliz.</t>
  </si>
  <si>
    <t>MsKS - zastrešenie hľadiska</t>
  </si>
  <si>
    <t>08.2.0. 717 002</t>
  </si>
  <si>
    <t>rekonštrukcia budovy SD Veča</t>
  </si>
  <si>
    <t>Ihriská</t>
  </si>
  <si>
    <t>Výstavba bytov _ bytový dom A - 116 b.j.zo ŠFRB</t>
  </si>
  <si>
    <t>Technická vybavenosť k bytom - dotácia</t>
  </si>
  <si>
    <t>223 ostatné príjmy MsKS (kurzy, výlep plagátov)</t>
  </si>
  <si>
    <t>312001 dotácia MPSVaR na poskytovanie soc. služieb pre OSS</t>
  </si>
  <si>
    <t>312001 dotácia MPSVaR na poskytovanie soc. služieb pre DD</t>
  </si>
  <si>
    <t>312001 dotácia - výkon osobitného príjemcu</t>
  </si>
  <si>
    <t>292 vratky</t>
  </si>
  <si>
    <t xml:space="preserve">311 grant MPSVaR SR </t>
  </si>
  <si>
    <t>01.1.1. 711 003</t>
  </si>
  <si>
    <t>06.2.0. 711 001</t>
  </si>
  <si>
    <t>312008 NSK - šport, kultúra, mapa</t>
  </si>
  <si>
    <t>450 rezervný fond</t>
  </si>
  <si>
    <t>rozpočet 
2018</t>
  </si>
  <si>
    <t>450 predpokladaný prebytok z predch. Roka</t>
  </si>
  <si>
    <t>312001 Projekt - Úspešne na trhu práce</t>
  </si>
  <si>
    <t>312001 Projekt - Praxou k zamestnávaniu</t>
  </si>
  <si>
    <t>rozpočet 2018</t>
  </si>
  <si>
    <t xml:space="preserve">
rozpočet 2018</t>
  </si>
  <si>
    <t>rozpočet
2018</t>
  </si>
  <si>
    <t>Tenis</t>
  </si>
  <si>
    <t xml:space="preserve">321 dotácia z Envirofondu </t>
  </si>
  <si>
    <t>311 grant EFRR - učebne</t>
  </si>
  <si>
    <t>Dopravný generel</t>
  </si>
  <si>
    <t>Cyklotrasa</t>
  </si>
  <si>
    <t>MŠ Hollého so ŠJ - kuchynský robot</t>
  </si>
  <si>
    <t>MŠ 8. mája - mangel</t>
  </si>
  <si>
    <t>ZŠ s MŠ Bernolákova - rekonštrukcia vykurovacieho systému</t>
  </si>
  <si>
    <t>ZŠ J. Hollého so ŠJ a ŠKD - plynový kotol do ŠJ</t>
  </si>
  <si>
    <t>ZŠ L. Štúra - statika telocvične</t>
  </si>
  <si>
    <t>CVČ - rek. soc. zar., výmenia okien a dverí</t>
  </si>
  <si>
    <t>223 príjmy školské jedálne - potraviny</t>
  </si>
  <si>
    <t>Podprog. 9.8.</t>
  </si>
  <si>
    <t>Školské jedálne - potraviny</t>
  </si>
  <si>
    <t>321 dotácia MŽP SR - zníženie energ. náročnosti budovy MsÚ</t>
  </si>
  <si>
    <t>500 úver ŠFRB</t>
  </si>
  <si>
    <t>5.</t>
  </si>
  <si>
    <t>kapitálové výdavky školstvo podľa aktuálnej potreby</t>
  </si>
  <si>
    <t>Zimný štadión - rolba</t>
  </si>
  <si>
    <t>08.1.0. 713 005</t>
  </si>
  <si>
    <t>Klasifikácia</t>
  </si>
  <si>
    <t>Výkup pozemkov (cyklotrasa )</t>
  </si>
  <si>
    <t>04.5.1. 717 001</t>
  </si>
  <si>
    <t>rekonštrukcia budovy DK Šaľa</t>
  </si>
  <si>
    <t>Multifunkčné ihrisko</t>
  </si>
  <si>
    <t>08.4.0. 717 002</t>
  </si>
  <si>
    <t>01.1.1. 713 002</t>
  </si>
  <si>
    <t>Rekonštrukcia parkovísk</t>
  </si>
  <si>
    <t>Program      Podprogram                              Prvok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</si>
  <si>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</si>
  <si>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</si>
  <si>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</si>
  <si>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</si>
  <si>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</si>
  <si>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</si>
  <si>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</si>
  <si>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</si>
  <si>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</si>
  <si>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</si>
  <si>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</si>
  <si>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9.1.</t>
  </si>
  <si>
    <t>Š k o l s k ý  ú r a d</t>
  </si>
  <si>
    <t>9.2.</t>
  </si>
  <si>
    <t>M a t e r s k é  š k o l y</t>
  </si>
  <si>
    <t>9.2.1.</t>
  </si>
  <si>
    <t>9.2.2.</t>
  </si>
  <si>
    <t>9.2.3.</t>
  </si>
  <si>
    <t>9.2.5.</t>
  </si>
  <si>
    <t>9.2.6.</t>
  </si>
  <si>
    <t>9.2.7.</t>
  </si>
  <si>
    <t>9.2.8.</t>
  </si>
  <si>
    <t>MŠ súkromná</t>
  </si>
  <si>
    <t>9.3.</t>
  </si>
  <si>
    <t>Z á k l a d n é   š k o l y</t>
  </si>
  <si>
    <t>9.3.1.</t>
  </si>
  <si>
    <t>9.3.2.</t>
  </si>
  <si>
    <t>9.3.3.</t>
  </si>
  <si>
    <t>9.3.4.</t>
  </si>
  <si>
    <t>9.3.5.</t>
  </si>
  <si>
    <t>9.3.6.</t>
  </si>
  <si>
    <t>9.4.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</si>
  <si>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</si>
  <si>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</si>
  <si>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</si>
  <si>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</si>
  <si>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</si>
  <si>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</si>
  <si>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</si>
  <si>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</si>
  <si>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</si>
  <si>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</si>
  <si>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</si>
  <si>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</si>
  <si>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</si>
  <si>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</si>
  <si>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</si>
  <si>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</si>
  <si>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</si>
  <si>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jazykové učebnice</t>
  </si>
  <si>
    <t>prvouka</t>
  </si>
  <si>
    <t>sociálne znevýhodnený</t>
  </si>
  <si>
    <t>9.6.</t>
  </si>
  <si>
    <t>9.7.</t>
  </si>
  <si>
    <t>Rekonštrukcia bývalej MŠ Palárika</t>
  </si>
  <si>
    <t>ZŠ J. Murgaša so ŠJ a ŠKD - kuchynský robot</t>
  </si>
  <si>
    <t>ZŠ J.C. Hronského so ŠJ a ŠKD - ohrievač výd. pultu</t>
  </si>
  <si>
    <t>revitalizácia vnútrobloku sídlisko Veča</t>
  </si>
  <si>
    <t>Výstavba bytov _ bytový dom B1 a B2 - 2*17 b.j.zo ŠFRB</t>
  </si>
  <si>
    <t xml:space="preserve"> plnenie 2017</t>
  </si>
  <si>
    <t>plnenie 2018</t>
  </si>
  <si>
    <t>skutočnosť 2017</t>
  </si>
  <si>
    <t>skutočnosť 2018</t>
  </si>
  <si>
    <t>plnenie 
rozpočtu  2017</t>
  </si>
  <si>
    <t>MsÚ - softvér</t>
  </si>
  <si>
    <t>MsÚ - výpočtová technika</t>
  </si>
  <si>
    <t xml:space="preserve">04.5.1. 716 </t>
  </si>
  <si>
    <t>PD - cyklotrasa</t>
  </si>
  <si>
    <t>08.4.0. 711 003</t>
  </si>
  <si>
    <t>08.4.0. 711 005 Fotosnímka cintorín</t>
  </si>
  <si>
    <t>Cintorín Veča - chodníky</t>
  </si>
  <si>
    <t>Cintorín Veča - software hrobových miest</t>
  </si>
  <si>
    <t>Cintorín Veča - fotosnímka</t>
  </si>
  <si>
    <t>08.4.0. 717 001</t>
  </si>
  <si>
    <t>Nový cintorín - oplotenie , chodníky</t>
  </si>
  <si>
    <t>Výstavba chodníka - vratka</t>
  </si>
  <si>
    <t>04.5.1. 719 014</t>
  </si>
  <si>
    <t>321 grant MVSR - osvetlenie</t>
  </si>
  <si>
    <t>321 dar VO</t>
  </si>
  <si>
    <t>453 účelovo viazané prostriedky z pred. rokov jedálne</t>
  </si>
  <si>
    <t>05.1.0. 717 002</t>
  </si>
  <si>
    <t>Rekonštrukcia skladu</t>
  </si>
  <si>
    <t>223 príjem DD jedáleň - potraviny</t>
  </si>
  <si>
    <t>456 zábezpeka byty</t>
  </si>
  <si>
    <t>311 grant ZsE</t>
  </si>
  <si>
    <t xml:space="preserve">01.1.1. 712 001 </t>
  </si>
  <si>
    <t>Prístrešok</t>
  </si>
  <si>
    <t>01.1.1. 712 001</t>
  </si>
  <si>
    <t>Nákup budov</t>
  </si>
  <si>
    <t>ZŠ J. Hollého so ŠJ a ŠKD - rekonštrukcia strechy</t>
  </si>
  <si>
    <t>08.1.0. 717 002</t>
  </si>
  <si>
    <t>FŠ - rekonštrukcia vodovodnej prípojky</t>
  </si>
  <si>
    <t>311 dar G&amp;G</t>
  </si>
  <si>
    <t>311 grant - dobrovol. požiarny zbor, G&amp;G</t>
  </si>
  <si>
    <t>312001 MK SR - workshop creativity</t>
  </si>
  <si>
    <t>321 multifunkčné ihrisko MAJK</t>
  </si>
  <si>
    <t>321 dotácia cyklotrasa</t>
  </si>
  <si>
    <t>321 dotácia SD Veča</t>
  </si>
  <si>
    <t>321 dotácia vnútroblok</t>
  </si>
  <si>
    <t>321 dotácia polopodzemné kontajnery</t>
  </si>
  <si>
    <t xml:space="preserve">321 Dotácia z úradu vlády </t>
  </si>
  <si>
    <t>450 fond rozvoja bývania</t>
  </si>
  <si>
    <t xml:space="preserve">500 preklenovací úver </t>
  </si>
  <si>
    <t>Cintorín Šaľa - rekonštrukcia VO</t>
  </si>
  <si>
    <t>13.</t>
  </si>
  <si>
    <t>10.2.0. 714 001</t>
  </si>
  <si>
    <t>DD - auto na rozvoz stravy</t>
  </si>
  <si>
    <t>Skate park</t>
  </si>
  <si>
    <t>06.2.0. 717 002</t>
  </si>
  <si>
    <t>Ihrisko Ul. 8. mája</t>
  </si>
  <si>
    <t>11.</t>
  </si>
  <si>
    <t>10.2.0. 713 005</t>
  </si>
  <si>
    <t>DD - klimatizácia</t>
  </si>
  <si>
    <t>Zimný štadión - monitoring čpavku, mantinely</t>
  </si>
  <si>
    <t>311 grant MVSR - hasičská zbrojnica</t>
  </si>
  <si>
    <t>321 Združené finančné prostriedky na výstavbu Feketeházyho ulice</t>
  </si>
  <si>
    <t>321 grant MVSR - hasičská zbojnica</t>
  </si>
  <si>
    <t>ZŠ J. Murgaša so ŠJ a ŠKD - atletický areál, mantinely, chodník</t>
  </si>
  <si>
    <t>Rekonštrukcia požiarnej zbrojmice</t>
  </si>
  <si>
    <t>03.2.0. 717002</t>
  </si>
  <si>
    <t>ZŠ J. Murgaša so ŠJ a ŠKD - učebne</t>
  </si>
  <si>
    <t>ZŠ J.C. Hronského so ŠJ a ŠKD - učebne</t>
  </si>
  <si>
    <t>ZŠ L. Štúra - učebne</t>
  </si>
  <si>
    <t>ZŠ s MŠ P. Pázmaňa - učebne</t>
  </si>
  <si>
    <t>01.1.1. 714 001</t>
  </si>
  <si>
    <t>Elektromobil</t>
  </si>
  <si>
    <t>Kapitálové   výdavky</t>
  </si>
  <si>
    <t>Výdavky z vlastných príjmov</t>
  </si>
  <si>
    <t>Skutočnosť Pr 9 Vzd 2018</t>
  </si>
  <si>
    <t>2018</t>
  </si>
  <si>
    <t xml:space="preserve">MŠ Šaľa, Budovateľská </t>
  </si>
  <si>
    <t>MŠ Šaľa, Družstevná ul.</t>
  </si>
  <si>
    <t>MŠ Šaľa, Hollého ul.</t>
  </si>
  <si>
    <t>MŠ Šaľa, Okružná ul.</t>
  </si>
  <si>
    <t>MŠ Šaľa, Ul. 8.mája</t>
  </si>
  <si>
    <t>MŠ Šaľa, Šafárikova ul.</t>
  </si>
  <si>
    <t>ZŠ Šaľa, Bernolákova ul.</t>
  </si>
  <si>
    <t>ZŠ Šaľa, Hollého ul.</t>
  </si>
  <si>
    <t>ZŠ s MŠ Šaľa, Horná ul.</t>
  </si>
  <si>
    <t>ZŠ Šaľa, Krátka ul.</t>
  </si>
  <si>
    <t>ZŠ Šaľa, Pionierska ul.</t>
  </si>
  <si>
    <t xml:space="preserve">ZŠ s MŠ s VVJM </t>
  </si>
  <si>
    <t>Voľnočasové aktivity</t>
  </si>
  <si>
    <t>projekty</t>
  </si>
  <si>
    <t>MsKJJ</t>
  </si>
  <si>
    <t>Príjmy</t>
  </si>
  <si>
    <t>9.8.</t>
  </si>
  <si>
    <t>Jedálne</t>
  </si>
  <si>
    <t>ŠJ výdavky na potraviny</t>
  </si>
  <si>
    <t>Príjem potraviny</t>
  </si>
  <si>
    <t>Výdavky</t>
  </si>
  <si>
    <t>13.3.3.</t>
  </si>
  <si>
    <t>11.2.1.</t>
  </si>
  <si>
    <t>SPOLU</t>
  </si>
  <si>
    <t>9. Školstvo</t>
  </si>
  <si>
    <t>Výdavky rozpočtových organizácií</t>
  </si>
  <si>
    <t>Príjmy spolu</t>
  </si>
  <si>
    <t>Tabuľka č. 5  Úverová zaťaženosť mesta k 31.12. 2018 v EUR</t>
  </si>
  <si>
    <t>P.č.</t>
  </si>
  <si>
    <t>Veriteľ</t>
  </si>
  <si>
    <t>Pôvodná výška úveru</t>
  </si>
  <si>
    <t>Dátum podpísania úverovej zmluvy</t>
  </si>
  <si>
    <t>Dátum splatnosti úveru</t>
  </si>
  <si>
    <t>Výška nesplat. istiny k 31.12. 2017 v EUR</t>
  </si>
  <si>
    <t>Výška nesplat. istiny k 31.12. 2018 v EUR</t>
  </si>
  <si>
    <t>Aktuálna úroková sadzba</t>
  </si>
  <si>
    <t xml:space="preserve">Periodicita splácania </t>
  </si>
  <si>
    <t>Účel úveru</t>
  </si>
  <si>
    <t>ročná splátka úrokov a poplatkov v roku 2018</t>
  </si>
  <si>
    <t>ročná splátka istiny v roku 2018</t>
  </si>
  <si>
    <t>ŠFRB II</t>
  </si>
  <si>
    <t>521 tis. EUR</t>
  </si>
  <si>
    <t>31.1. 2032</t>
  </si>
  <si>
    <t>mesačne                            2 455,12 EUR (istina a úrok)</t>
  </si>
  <si>
    <t>výstavba nájomných bytov</t>
  </si>
  <si>
    <t>2.</t>
  </si>
  <si>
    <t>ŠFRB I</t>
  </si>
  <si>
    <t>1 317 tis. EUR</t>
  </si>
  <si>
    <t>mesačne                               6 213,93 EUR (istina a úrok)</t>
  </si>
  <si>
    <t>ŠFRB III</t>
  </si>
  <si>
    <t>1 514 tis. EUR</t>
  </si>
  <si>
    <t>4.</t>
  </si>
  <si>
    <t>Reštrukturalizovaný SLSP</t>
  </si>
  <si>
    <t>Domov dôchodcov, CMZ, OPŽP a pôvodné úvery</t>
  </si>
  <si>
    <t xml:space="preserve">5. </t>
  </si>
  <si>
    <t>SLSP nový úver</t>
  </si>
  <si>
    <t>Výška nesplatenenej istiny, ktorá vchádza do úverovej zaťaženosti (bez úverov ŠFRB, preklenovacích úverov a KTK) k 31.12.2018</t>
  </si>
  <si>
    <t>Výška  istiny vrátane úhrady úrokov a poplatkov  (bez ich jednorazového predčasného splatenia) zaplatených v roku 2018</t>
  </si>
  <si>
    <t>Bežné príjmy v roku 2017</t>
  </si>
  <si>
    <t>Bežné príjmy v roku 2017 znížené o prostriedky z rozpočtu iného subjektu verejnej správy a EÚ</t>
  </si>
  <si>
    <t>Úverová zaťaženosť mesta k 31.12.2017 v zmysle zákona č. 583/2004 Z.z. o rozpočtových pravidlách (max 60 %)</t>
  </si>
  <si>
    <t>Podiel splátky istiny vrátane úhrady úrokov a poplatkov (bez ich jednorazového predčasného splatenia.) na bežných príjmoch mesta za predch. rok (max 25%) znížených o prostriedky z rozpočtu iného subjektu verejnej správy v EÚ</t>
  </si>
  <si>
    <t>Zariadenie</t>
  </si>
  <si>
    <t>zostatok na účte k 31.12.2018</t>
  </si>
  <si>
    <t>453 zostatok na účtoch k 31.12.2017</t>
  </si>
  <si>
    <t xml:space="preserve">Tabuľka č. 1 Plnenie príjmov rozpočtu mesta za rok 2018 </t>
  </si>
  <si>
    <t>212003 nájomné a réžie Bytkomfort, MeT</t>
  </si>
  <si>
    <t>Cintorín Šaľa - rekonštrukcia kríža</t>
  </si>
  <si>
    <t>ZŠ Ľ. Štúra so ŠJ a ŠKD- rekonštrukcia strechy</t>
  </si>
  <si>
    <t>Nízkoprahové denné centrum</t>
  </si>
  <si>
    <t xml:space="preserve">  Tabuľka č. 2 Plnenie výdavkov rozpočtu mesta v roku 2018</t>
  </si>
  <si>
    <t xml:space="preserve">Tabuľka č. 3 Sumár príjmov a výdavkov rozpočtu mesta v roku 2018 </t>
  </si>
  <si>
    <t>Tabuľka č. 4 Investičné výdavky mesta za rok 2018</t>
  </si>
  <si>
    <t>Tabuľka č. 6 Príjmy a výdavky rozpočtových organizácií k 31.12.2018</t>
  </si>
  <si>
    <t>30.10.2058</t>
  </si>
  <si>
    <t>mesačne                               3 828,24 EUR (istina a úrok)</t>
  </si>
  <si>
    <t>výstavba 34 nájomných bytov Kráľovská ul.</t>
  </si>
  <si>
    <t>30.6.2032</t>
  </si>
  <si>
    <t>12M+0,45%</t>
  </si>
  <si>
    <t>mesačne istina                              18 021 EUR, úrok štvrťročne</t>
  </si>
  <si>
    <t>850 000 EUR</t>
  </si>
  <si>
    <t>3 135 672,35 EUR</t>
  </si>
  <si>
    <t>mesačne istina                              5 667 EUR, úrok štvrťročne</t>
  </si>
  <si>
    <t>rekonštrukcia MsÚ, MK Horná, Feketeházy, skate park, 3. etapa VO, kontajnery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</si>
</sst>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€&quot;"/>
  </numFmts>
  <fonts count="80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6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name val="Arial CE"/>
      <charset val="238"/>
    </font>
    <font>
      <sz val="8"/>
      <name val="Arial CE"/>
      <charset val="238"/>
    </font>
    <font>
      <b/>
      <sz val="14"/>
      <color indexed="8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63" fillId="0" borderId="0"/>
  </cellStyleXfs>
  <cellXfs count="1035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" fillId="0" borderId="0" xfId="1" applyNumberFormat="1" applyFont="1" applyFill="1" applyBorder="1"/>
    <xf numFmtId="3" fontId="11" fillId="0" borderId="16" xfId="1" applyNumberFormat="1" applyFont="1" applyFill="1" applyBorder="1"/>
    <xf numFmtId="3" fontId="11" fillId="0" borderId="16" xfId="1" applyNumberFormat="1" applyFont="1" applyFill="1" applyBorder="1" applyAlignment="1">
      <alignment horizontal="right"/>
    </xf>
    <xf numFmtId="3" fontId="1" fillId="0" borderId="16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7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2" xfId="1" applyNumberFormat="1" applyFont="1" applyFill="1" applyBorder="1" applyAlignment="1">
      <alignment horizontal="center" vertical="center" wrapText="1"/>
    </xf>
    <xf numFmtId="3" fontId="21" fillId="7" borderId="54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6" xfId="1" applyFont="1" applyFill="1" applyBorder="1"/>
    <xf numFmtId="0" fontId="6" fillId="8" borderId="50" xfId="1" applyFont="1" applyFill="1" applyBorder="1"/>
    <xf numFmtId="3" fontId="6" fillId="8" borderId="36" xfId="1" applyNumberFormat="1" applyFont="1" applyFill="1" applyBorder="1" applyAlignment="1">
      <alignment horizontal="right"/>
    </xf>
    <xf numFmtId="3" fontId="6" fillId="8" borderId="44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3" fontId="6" fillId="8" borderId="50" xfId="1" applyNumberFormat="1" applyFont="1" applyFill="1" applyBorder="1" applyAlignment="1">
      <alignment horizontal="right"/>
    </xf>
    <xf numFmtId="3" fontId="6" fillId="8" borderId="45" xfId="1" applyNumberFormat="1" applyFont="1" applyFill="1" applyBorder="1" applyAlignment="1">
      <alignment horizontal="right"/>
    </xf>
    <xf numFmtId="0" fontId="22" fillId="9" borderId="52" xfId="1" applyFont="1" applyFill="1" applyBorder="1" applyAlignment="1">
      <alignment horizontal="left"/>
    </xf>
    <xf numFmtId="0" fontId="23" fillId="9" borderId="37" xfId="1" applyFont="1" applyFill="1" applyBorder="1" applyAlignment="1">
      <alignment horizontal="left"/>
    </xf>
    <xf numFmtId="3" fontId="7" fillId="9" borderId="52" xfId="1" applyNumberFormat="1" applyFont="1" applyFill="1" applyBorder="1"/>
    <xf numFmtId="3" fontId="7" fillId="9" borderId="49" xfId="1" applyNumberFormat="1" applyFont="1" applyFill="1" applyBorder="1"/>
    <xf numFmtId="3" fontId="7" fillId="9" borderId="37" xfId="1" applyNumberFormat="1" applyFont="1" applyFill="1" applyBorder="1"/>
    <xf numFmtId="3" fontId="7" fillId="9" borderId="53" xfId="1" applyNumberFormat="1" applyFont="1" applyFill="1" applyBorder="1"/>
    <xf numFmtId="3" fontId="7" fillId="9" borderId="54" xfId="1" applyNumberFormat="1" applyFont="1" applyFill="1" applyBorder="1"/>
    <xf numFmtId="0" fontId="22" fillId="9" borderId="52" xfId="1" applyFont="1" applyFill="1" applyBorder="1"/>
    <xf numFmtId="0" fontId="23" fillId="9" borderId="53" xfId="1" applyFont="1" applyFill="1" applyBorder="1"/>
    <xf numFmtId="0" fontId="22" fillId="9" borderId="46" xfId="1" applyFont="1" applyFill="1" applyBorder="1"/>
    <xf numFmtId="0" fontId="25" fillId="9" borderId="59" xfId="1" applyFont="1" applyFill="1" applyBorder="1" applyAlignment="1"/>
    <xf numFmtId="0" fontId="25" fillId="9" borderId="53" xfId="1" applyFont="1" applyFill="1" applyBorder="1"/>
    <xf numFmtId="0" fontId="25" fillId="9" borderId="53" xfId="1" applyFont="1" applyFill="1" applyBorder="1" applyAlignment="1"/>
    <xf numFmtId="0" fontId="22" fillId="9" borderId="56" xfId="1" applyFont="1" applyFill="1" applyBorder="1"/>
    <xf numFmtId="0" fontId="22" fillId="9" borderId="53" xfId="1" applyFont="1" applyFill="1" applyBorder="1"/>
    <xf numFmtId="0" fontId="22" fillId="9" borderId="36" xfId="1" applyFont="1" applyFill="1" applyBorder="1"/>
    <xf numFmtId="0" fontId="32" fillId="9" borderId="50" xfId="1" applyFont="1" applyFill="1" applyBorder="1"/>
    <xf numFmtId="3" fontId="7" fillId="9" borderId="42" xfId="1" applyNumberFormat="1" applyFont="1" applyFill="1" applyBorder="1"/>
    <xf numFmtId="3" fontId="7" fillId="9" borderId="40" xfId="1" applyNumberFormat="1" applyFont="1" applyFill="1" applyBorder="1"/>
    <xf numFmtId="3" fontId="7" fillId="9" borderId="39" xfId="1" applyNumberFormat="1" applyFont="1" applyFill="1" applyBorder="1"/>
    <xf numFmtId="3" fontId="7" fillId="9" borderId="60" xfId="1" applyNumberFormat="1" applyFont="1" applyFill="1" applyBorder="1"/>
    <xf numFmtId="3" fontId="7" fillId="9" borderId="61" xfId="1" applyNumberFormat="1" applyFont="1" applyFill="1" applyBorder="1"/>
    <xf numFmtId="3" fontId="7" fillId="9" borderId="51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7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8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8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5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2" xfId="1" applyNumberFormat="1" applyFont="1" applyFill="1" applyBorder="1"/>
    <xf numFmtId="3" fontId="40" fillId="11" borderId="63" xfId="1" applyNumberFormat="1" applyFont="1" applyFill="1" applyBorder="1"/>
    <xf numFmtId="3" fontId="40" fillId="11" borderId="64" xfId="1" applyNumberFormat="1" applyFont="1" applyFill="1" applyBorder="1"/>
    <xf numFmtId="3" fontId="1" fillId="12" borderId="65" xfId="1" applyNumberFormat="1" applyFont="1" applyFill="1" applyBorder="1"/>
    <xf numFmtId="3" fontId="1" fillId="12" borderId="58" xfId="1" applyNumberFormat="1" applyFont="1" applyFill="1" applyBorder="1"/>
    <xf numFmtId="3" fontId="1" fillId="12" borderId="66" xfId="1" applyNumberFormat="1" applyFont="1" applyFill="1" applyBorder="1"/>
    <xf numFmtId="3" fontId="1" fillId="0" borderId="58" xfId="1" applyNumberFormat="1" applyFont="1" applyFill="1" applyBorder="1"/>
    <xf numFmtId="3" fontId="1" fillId="0" borderId="66" xfId="1" applyNumberFormat="1" applyFont="1" applyFill="1" applyBorder="1"/>
    <xf numFmtId="3" fontId="1" fillId="12" borderId="67" xfId="1" applyNumberFormat="1" applyFont="1" applyFill="1" applyBorder="1"/>
    <xf numFmtId="3" fontId="1" fillId="12" borderId="68" xfId="1" applyNumberFormat="1" applyFont="1" applyFill="1" applyBorder="1"/>
    <xf numFmtId="3" fontId="1" fillId="12" borderId="69" xfId="1" applyNumberFormat="1" applyFont="1" applyFill="1" applyBorder="1"/>
    <xf numFmtId="3" fontId="7" fillId="11" borderId="62" xfId="1" applyNumberFormat="1" applyFont="1" applyFill="1" applyBorder="1"/>
    <xf numFmtId="3" fontId="7" fillId="11" borderId="63" xfId="1" applyNumberFormat="1" applyFont="1" applyFill="1" applyBorder="1"/>
    <xf numFmtId="3" fontId="1" fillId="12" borderId="70" xfId="1" applyNumberFormat="1" applyFont="1" applyFill="1" applyBorder="1"/>
    <xf numFmtId="3" fontId="1" fillId="12" borderId="71" xfId="1" applyNumberFormat="1" applyFont="1" applyFill="1" applyBorder="1"/>
    <xf numFmtId="3" fontId="1" fillId="12" borderId="72" xfId="1" applyNumberFormat="1" applyFont="1" applyFill="1" applyBorder="1"/>
    <xf numFmtId="3" fontId="7" fillId="11" borderId="64" xfId="1" applyNumberFormat="1" applyFont="1" applyFill="1" applyBorder="1"/>
    <xf numFmtId="3" fontId="41" fillId="0" borderId="58" xfId="1" applyNumberFormat="1" applyFont="1" applyFill="1" applyBorder="1"/>
    <xf numFmtId="3" fontId="41" fillId="0" borderId="66" xfId="1" applyNumberFormat="1" applyFont="1" applyFill="1" applyBorder="1"/>
    <xf numFmtId="3" fontId="41" fillId="12" borderId="71" xfId="1" applyNumberFormat="1" applyFont="1" applyFill="1" applyBorder="1"/>
    <xf numFmtId="3" fontId="41" fillId="12" borderId="72" xfId="1" applyNumberFormat="1" applyFont="1" applyFill="1" applyBorder="1"/>
    <xf numFmtId="3" fontId="1" fillId="0" borderId="71" xfId="1" applyNumberFormat="1" applyFont="1" applyFill="1" applyBorder="1"/>
    <xf numFmtId="3" fontId="1" fillId="0" borderId="72" xfId="1" applyNumberFormat="1" applyFont="1" applyFill="1" applyBorder="1"/>
    <xf numFmtId="3" fontId="1" fillId="13" borderId="58" xfId="1" applyNumberFormat="1" applyFont="1" applyFill="1" applyBorder="1"/>
    <xf numFmtId="3" fontId="1" fillId="13" borderId="66" xfId="1" applyNumberFormat="1" applyFont="1" applyFill="1" applyBorder="1"/>
    <xf numFmtId="3" fontId="42" fillId="0" borderId="66" xfId="1" applyNumberFormat="1" applyFont="1" applyFill="1" applyBorder="1"/>
    <xf numFmtId="3" fontId="42" fillId="0" borderId="58" xfId="1" applyNumberFormat="1" applyFont="1" applyFill="1" applyBorder="1"/>
    <xf numFmtId="3" fontId="42" fillId="12" borderId="58" xfId="1" applyNumberFormat="1" applyFont="1" applyFill="1" applyBorder="1"/>
    <xf numFmtId="3" fontId="7" fillId="11" borderId="73" xfId="1" applyNumberFormat="1" applyFont="1" applyFill="1" applyBorder="1"/>
    <xf numFmtId="3" fontId="1" fillId="12" borderId="74" xfId="1" applyNumberFormat="1" applyFont="1" applyFill="1" applyBorder="1"/>
    <xf numFmtId="3" fontId="1" fillId="12" borderId="75" xfId="1" applyNumberFormat="1" applyFont="1" applyFill="1" applyBorder="1"/>
    <xf numFmtId="3" fontId="43" fillId="12" borderId="72" xfId="1" applyNumberFormat="1" applyFont="1" applyFill="1" applyBorder="1" applyAlignment="1">
      <alignment horizontal="right"/>
    </xf>
    <xf numFmtId="3" fontId="7" fillId="11" borderId="76" xfId="1" applyNumberFormat="1" applyFont="1" applyFill="1" applyBorder="1"/>
    <xf numFmtId="3" fontId="7" fillId="11" borderId="77" xfId="1" applyNumberFormat="1" applyFont="1" applyFill="1" applyBorder="1"/>
    <xf numFmtId="3" fontId="1" fillId="0" borderId="65" xfId="1" applyNumberFormat="1" applyFont="1" applyFill="1" applyBorder="1"/>
    <xf numFmtId="3" fontId="1" fillId="0" borderId="70" xfId="1" applyNumberFormat="1" applyFont="1" applyFill="1" applyBorder="1"/>
    <xf numFmtId="3" fontId="1" fillId="6" borderId="47" xfId="1" applyNumberFormat="1" applyFont="1" applyFill="1" applyBorder="1"/>
    <xf numFmtId="3" fontId="43" fillId="0" borderId="78" xfId="1" applyNumberFormat="1" applyFont="1" applyFill="1" applyBorder="1"/>
    <xf numFmtId="3" fontId="1" fillId="0" borderId="79" xfId="1" applyNumberFormat="1" applyFont="1" applyFill="1" applyBorder="1"/>
    <xf numFmtId="3" fontId="11" fillId="0" borderId="79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3" fontId="1" fillId="0" borderId="0" xfId="1" applyNumberFormat="1" applyFill="1" applyBorder="1"/>
    <xf numFmtId="3" fontId="21" fillId="0" borderId="23" xfId="1" applyNumberFormat="1" applyFont="1" applyFill="1" applyBorder="1" applyAlignment="1">
      <alignment horizontal="center" vertical="center" wrapText="1"/>
    </xf>
    <xf numFmtId="0" fontId="11" fillId="0" borderId="15" xfId="1" applyFont="1" applyFill="1" applyBorder="1"/>
    <xf numFmtId="0" fontId="11" fillId="0" borderId="55" xfId="1" applyFont="1" applyFill="1" applyBorder="1"/>
    <xf numFmtId="0" fontId="46" fillId="0" borderId="3" xfId="1" applyFont="1" applyBorder="1"/>
    <xf numFmtId="0" fontId="14" fillId="0" borderId="0" xfId="1" applyFont="1"/>
    <xf numFmtId="0" fontId="50" fillId="0" borderId="0" xfId="1" applyFont="1"/>
    <xf numFmtId="3" fontId="2" fillId="0" borderId="45" xfId="1" applyNumberFormat="1" applyFont="1" applyFill="1" applyBorder="1" applyAlignment="1">
      <alignment horizontal="right"/>
    </xf>
    <xf numFmtId="3" fontId="2" fillId="0" borderId="44" xfId="1" applyNumberFormat="1" applyFont="1" applyFill="1" applyBorder="1" applyAlignment="1">
      <alignment horizontal="right"/>
    </xf>
    <xf numFmtId="3" fontId="53" fillId="0" borderId="3" xfId="1" applyNumberFormat="1" applyFont="1" applyFill="1" applyBorder="1"/>
    <xf numFmtId="3" fontId="53" fillId="0" borderId="10" xfId="1" applyNumberFormat="1" applyFont="1" applyFill="1" applyBorder="1"/>
    <xf numFmtId="3" fontId="45" fillId="0" borderId="49" xfId="1" applyNumberFormat="1" applyFont="1" applyFill="1" applyBorder="1"/>
    <xf numFmtId="3" fontId="45" fillId="0" borderId="54" xfId="1" applyNumberFormat="1" applyFont="1" applyFill="1" applyBorder="1"/>
    <xf numFmtId="3" fontId="52" fillId="0" borderId="19" xfId="1" applyNumberFormat="1" applyFont="1" applyFill="1" applyBorder="1"/>
    <xf numFmtId="3" fontId="52" fillId="0" borderId="21" xfId="1" applyNumberFormat="1" applyFont="1" applyFill="1" applyBorder="1"/>
    <xf numFmtId="3" fontId="52" fillId="0" borderId="58" xfId="1" applyNumberFormat="1" applyFont="1" applyFill="1" applyBorder="1"/>
    <xf numFmtId="3" fontId="52" fillId="0" borderId="66" xfId="1" applyNumberFormat="1" applyFont="1" applyFill="1" applyBorder="1"/>
    <xf numFmtId="3" fontId="52" fillId="0" borderId="25" xfId="1" applyNumberFormat="1" applyFont="1" applyFill="1" applyBorder="1"/>
    <xf numFmtId="3" fontId="52" fillId="0" borderId="47" xfId="1" applyNumberFormat="1" applyFont="1" applyFill="1" applyBorder="1"/>
    <xf numFmtId="3" fontId="52" fillId="0" borderId="29" xfId="1" applyNumberFormat="1" applyFont="1" applyFill="1" applyBorder="1"/>
    <xf numFmtId="3" fontId="52" fillId="0" borderId="23" xfId="1" applyNumberFormat="1" applyFont="1" applyFill="1" applyBorder="1"/>
    <xf numFmtId="3" fontId="52" fillId="0" borderId="74" xfId="1" applyNumberFormat="1" applyFont="1" applyFill="1" applyBorder="1"/>
    <xf numFmtId="3" fontId="45" fillId="0" borderId="84" xfId="1" applyNumberFormat="1" applyFont="1" applyFill="1" applyBorder="1"/>
    <xf numFmtId="3" fontId="52" fillId="0" borderId="85" xfId="1" applyNumberFormat="1" applyFont="1" applyFill="1" applyBorder="1"/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5" fillId="0" borderId="100" xfId="2" applyFont="1" applyBorder="1" applyAlignment="1">
      <alignment horizontal="center" wrapText="1"/>
    </xf>
    <xf numFmtId="3" fontId="14" fillId="0" borderId="103" xfId="1" applyNumberFormat="1" applyFont="1" applyBorder="1" applyAlignment="1">
      <alignment horizontal="center"/>
    </xf>
    <xf numFmtId="3" fontId="14" fillId="0" borderId="74" xfId="1" applyNumberFormat="1" applyFont="1" applyBorder="1" applyAlignment="1">
      <alignment horizontal="center"/>
    </xf>
    <xf numFmtId="3" fontId="14" fillId="0" borderId="75" xfId="1" applyNumberFormat="1" applyFont="1" applyBorder="1" applyAlignment="1">
      <alignment horizontal="center"/>
    </xf>
    <xf numFmtId="3" fontId="52" fillId="0" borderId="18" xfId="1" applyNumberFormat="1" applyFont="1" applyFill="1" applyBorder="1"/>
    <xf numFmtId="3" fontId="2" fillId="0" borderId="100" xfId="1" applyNumberFormat="1" applyFont="1" applyFill="1" applyBorder="1" applyAlignment="1">
      <alignment horizontal="right"/>
    </xf>
    <xf numFmtId="3" fontId="52" fillId="0" borderId="30" xfId="1" applyNumberFormat="1" applyFont="1" applyFill="1" applyBorder="1"/>
    <xf numFmtId="3" fontId="52" fillId="0" borderId="75" xfId="1" applyNumberFormat="1" applyFont="1" applyFill="1" applyBorder="1"/>
    <xf numFmtId="3" fontId="52" fillId="0" borderId="71" xfId="1" applyNumberFormat="1" applyFont="1" applyFill="1" applyBorder="1"/>
    <xf numFmtId="3" fontId="52" fillId="0" borderId="72" xfId="1" applyNumberFormat="1" applyFont="1" applyFill="1" applyBorder="1"/>
    <xf numFmtId="3" fontId="45" fillId="0" borderId="37" xfId="1" applyNumberFormat="1" applyFont="1" applyFill="1" applyBorder="1"/>
    <xf numFmtId="3" fontId="45" fillId="0" borderId="73" xfId="1" applyNumberFormat="1" applyFont="1" applyFill="1" applyBorder="1"/>
    <xf numFmtId="3" fontId="45" fillId="0" borderId="63" xfId="1" applyNumberFormat="1" applyFont="1" applyFill="1" applyBorder="1"/>
    <xf numFmtId="3" fontId="45" fillId="0" borderId="64" xfId="1" applyNumberFormat="1" applyFont="1" applyFill="1" applyBorder="1"/>
    <xf numFmtId="3" fontId="52" fillId="0" borderId="24" xfId="1" applyNumberFormat="1" applyFont="1" applyFill="1" applyBorder="1"/>
    <xf numFmtId="3" fontId="52" fillId="0" borderId="105" xfId="1" applyNumberFormat="1" applyFont="1" applyFill="1" applyBorder="1"/>
    <xf numFmtId="3" fontId="52" fillId="0" borderId="68" xfId="1" applyNumberFormat="1" applyFont="1" applyFill="1" applyBorder="1"/>
    <xf numFmtId="3" fontId="52" fillId="0" borderId="83" xfId="1" applyNumberFormat="1" applyFont="1" applyFill="1" applyBorder="1"/>
    <xf numFmtId="3" fontId="52" fillId="0" borderId="65" xfId="1" applyNumberFormat="1" applyFont="1" applyFill="1" applyBorder="1"/>
    <xf numFmtId="0" fontId="6" fillId="0" borderId="38" xfId="1" applyFont="1" applyFill="1" applyBorder="1"/>
    <xf numFmtId="0" fontId="6" fillId="0" borderId="39" xfId="1" applyFont="1" applyFill="1" applyBorder="1"/>
    <xf numFmtId="0" fontId="49" fillId="0" borderId="84" xfId="1" applyFont="1" applyFill="1" applyBorder="1" applyAlignment="1">
      <alignment horizontal="left"/>
    </xf>
    <xf numFmtId="0" fontId="23" fillId="0" borderId="109" xfId="1" applyFont="1" applyFill="1" applyBorder="1" applyAlignment="1">
      <alignment horizontal="left"/>
    </xf>
    <xf numFmtId="0" fontId="23" fillId="0" borderId="85" xfId="1" applyFont="1" applyFill="1" applyBorder="1" applyAlignment="1">
      <alignment horizontal="left"/>
    </xf>
    <xf numFmtId="0" fontId="24" fillId="0" borderId="86" xfId="1" applyFont="1" applyFill="1" applyBorder="1" applyAlignment="1"/>
    <xf numFmtId="0" fontId="24" fillId="0" borderId="86" xfId="1" applyFont="1" applyFill="1" applyBorder="1"/>
    <xf numFmtId="0" fontId="23" fillId="0" borderId="110" xfId="1" applyFont="1" applyFill="1" applyBorder="1" applyAlignment="1">
      <alignment horizontal="left"/>
    </xf>
    <xf numFmtId="0" fontId="24" fillId="0" borderId="111" xfId="1" applyFont="1" applyFill="1" applyBorder="1"/>
    <xf numFmtId="0" fontId="49" fillId="0" borderId="112" xfId="1" applyFont="1" applyFill="1" applyBorder="1"/>
    <xf numFmtId="0" fontId="23" fillId="0" borderId="113" xfId="1" applyFont="1" applyFill="1" applyBorder="1"/>
    <xf numFmtId="0" fontId="24" fillId="0" borderId="96" xfId="1" applyFont="1" applyFill="1" applyBorder="1"/>
    <xf numFmtId="0" fontId="23" fillId="0" borderId="110" xfId="1" applyFont="1" applyFill="1" applyBorder="1"/>
    <xf numFmtId="0" fontId="49" fillId="0" borderId="114" xfId="1" applyFont="1" applyFill="1" applyBorder="1"/>
    <xf numFmtId="0" fontId="25" fillId="0" borderId="115" xfId="1" applyFont="1" applyFill="1" applyBorder="1" applyAlignment="1"/>
    <xf numFmtId="0" fontId="23" fillId="0" borderId="116" xfId="1" applyFont="1" applyFill="1" applyBorder="1" applyAlignment="1">
      <alignment horizontal="left"/>
    </xf>
    <xf numFmtId="0" fontId="25" fillId="0" borderId="113" xfId="1" applyFont="1" applyFill="1" applyBorder="1"/>
    <xf numFmtId="0" fontId="23" fillId="0" borderId="85" xfId="1" applyFont="1" applyFill="1" applyBorder="1"/>
    <xf numFmtId="0" fontId="27" fillId="0" borderId="86" xfId="1" applyFont="1" applyFill="1" applyBorder="1"/>
    <xf numFmtId="0" fontId="23" fillId="0" borderId="116" xfId="1" applyFont="1" applyFill="1" applyBorder="1"/>
    <xf numFmtId="0" fontId="24" fillId="0" borderId="95" xfId="1" applyFont="1" applyFill="1" applyBorder="1"/>
    <xf numFmtId="0" fontId="25" fillId="0" borderId="113" xfId="1" applyFont="1" applyFill="1" applyBorder="1" applyAlignment="1"/>
    <xf numFmtId="0" fontId="23" fillId="0" borderId="87" xfId="1" applyFont="1" applyFill="1" applyBorder="1" applyAlignment="1">
      <alignment horizontal="left"/>
    </xf>
    <xf numFmtId="0" fontId="24" fillId="0" borderId="88" xfId="1" applyFont="1" applyFill="1" applyBorder="1"/>
    <xf numFmtId="0" fontId="31" fillId="0" borderId="85" xfId="1" applyFont="1" applyFill="1" applyBorder="1"/>
    <xf numFmtId="0" fontId="31" fillId="0" borderId="87" xfId="1" applyFont="1" applyFill="1" applyBorder="1"/>
    <xf numFmtId="0" fontId="31" fillId="0" borderId="110" xfId="1" applyFont="1" applyFill="1" applyBorder="1"/>
    <xf numFmtId="0" fontId="49" fillId="0" borderId="117" xfId="1" applyFont="1" applyFill="1" applyBorder="1"/>
    <xf numFmtId="0" fontId="22" fillId="0" borderId="113" xfId="1" applyFont="1" applyFill="1" applyBorder="1"/>
    <xf numFmtId="0" fontId="23" fillId="0" borderId="87" xfId="1" applyFont="1" applyFill="1" applyBorder="1"/>
    <xf numFmtId="0" fontId="23" fillId="0" borderId="74" xfId="1" applyFont="1" applyFill="1" applyBorder="1" applyAlignment="1">
      <alignment horizontal="left"/>
    </xf>
    <xf numFmtId="0" fontId="24" fillId="0" borderId="66" xfId="1" applyFont="1" applyFill="1" applyBorder="1"/>
    <xf numFmtId="0" fontId="23" fillId="0" borderId="74" xfId="1" applyFont="1" applyFill="1" applyBorder="1"/>
    <xf numFmtId="0" fontId="49" fillId="0" borderId="119" xfId="1" applyFont="1" applyFill="1" applyBorder="1"/>
    <xf numFmtId="0" fontId="32" fillId="0" borderId="120" xfId="1" applyFont="1" applyFill="1" applyBorder="1"/>
    <xf numFmtId="0" fontId="23" fillId="0" borderId="75" xfId="1" applyFont="1" applyFill="1" applyBorder="1"/>
    <xf numFmtId="3" fontId="45" fillId="0" borderId="122" xfId="1" applyNumberFormat="1" applyFont="1" applyFill="1" applyBorder="1"/>
    <xf numFmtId="3" fontId="45" fillId="0" borderId="123" xfId="1" applyNumberFormat="1" applyFont="1" applyFill="1" applyBorder="1"/>
    <xf numFmtId="3" fontId="45" fillId="0" borderId="124" xfId="1" applyNumberFormat="1" applyFont="1" applyFill="1" applyBorder="1"/>
    <xf numFmtId="3" fontId="52" fillId="0" borderId="69" xfId="1" applyNumberFormat="1" applyFont="1" applyFill="1" applyBorder="1"/>
    <xf numFmtId="0" fontId="56" fillId="0" borderId="36" xfId="0" applyFont="1" applyFill="1" applyBorder="1" applyAlignment="1">
      <alignment horizontal="left"/>
    </xf>
    <xf numFmtId="0" fontId="20" fillId="0" borderId="1" xfId="0" applyFont="1" applyFill="1" applyBorder="1"/>
    <xf numFmtId="3" fontId="20" fillId="0" borderId="2" xfId="0" applyNumberFormat="1" applyFont="1" applyFill="1" applyBorder="1" applyAlignment="1">
      <alignment horizontal="right"/>
    </xf>
    <xf numFmtId="0" fontId="50" fillId="0" borderId="3" xfId="0" applyFont="1" applyFill="1" applyBorder="1"/>
    <xf numFmtId="3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57" fillId="0" borderId="5" xfId="0" applyFont="1" applyFill="1" applyBorder="1"/>
    <xf numFmtId="3" fontId="57" fillId="0" borderId="7" xfId="0" applyNumberFormat="1" applyFont="1" applyFill="1" applyBorder="1"/>
    <xf numFmtId="0" fontId="14" fillId="0" borderId="8" xfId="0" applyFont="1" applyFill="1" applyBorder="1"/>
    <xf numFmtId="0" fontId="57" fillId="0" borderId="7" xfId="0" applyFont="1" applyFill="1" applyBorder="1"/>
    <xf numFmtId="0" fontId="34" fillId="0" borderId="5" xfId="0" applyFont="1" applyFill="1" applyBorder="1"/>
    <xf numFmtId="3" fontId="57" fillId="0" borderId="5" xfId="0" applyNumberFormat="1" applyFont="1" applyFill="1" applyBorder="1"/>
    <xf numFmtId="0" fontId="50" fillId="0" borderId="10" xfId="0" applyFont="1" applyFill="1" applyBorder="1"/>
    <xf numFmtId="3" fontId="34" fillId="0" borderId="7" xfId="0" applyNumberFormat="1" applyFont="1" applyFill="1" applyBorder="1"/>
    <xf numFmtId="0" fontId="57" fillId="0" borderId="5" xfId="0" applyFont="1" applyFill="1" applyBorder="1" applyAlignment="1">
      <alignment horizontal="left"/>
    </xf>
    <xf numFmtId="0" fontId="57" fillId="15" borderId="5" xfId="0" applyFont="1" applyFill="1" applyBorder="1"/>
    <xf numFmtId="3" fontId="57" fillId="0" borderId="13" xfId="0" applyNumberFormat="1" applyFont="1" applyFill="1" applyBorder="1"/>
    <xf numFmtId="0" fontId="20" fillId="0" borderId="33" xfId="0" applyFont="1" applyFill="1" applyBorder="1"/>
    <xf numFmtId="3" fontId="20" fillId="0" borderId="35" xfId="0" applyNumberFormat="1" applyFont="1" applyFill="1" applyBorder="1" applyAlignment="1">
      <alignment horizontal="right"/>
    </xf>
    <xf numFmtId="0" fontId="58" fillId="0" borderId="0" xfId="0" applyFont="1" applyFill="1"/>
    <xf numFmtId="0" fontId="57" fillId="0" borderId="89" xfId="0" applyFont="1" applyFill="1" applyBorder="1" applyAlignment="1">
      <alignment horizontal="left"/>
    </xf>
    <xf numFmtId="3" fontId="50" fillId="0" borderId="90" xfId="0" applyNumberFormat="1" applyFont="1" applyFill="1" applyBorder="1" applyAlignment="1">
      <alignment horizontal="left"/>
    </xf>
    <xf numFmtId="3" fontId="14" fillId="0" borderId="90" xfId="0" applyNumberFormat="1" applyFont="1" applyFill="1" applyBorder="1" applyAlignment="1">
      <alignment horizontal="right"/>
    </xf>
    <xf numFmtId="0" fontId="59" fillId="0" borderId="1" xfId="0" applyFont="1" applyFill="1" applyBorder="1" applyAlignment="1">
      <alignment horizontal="left"/>
    </xf>
    <xf numFmtId="3" fontId="59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3" fontId="58" fillId="0" borderId="0" xfId="0" applyNumberFormat="1" applyFont="1" applyFill="1"/>
    <xf numFmtId="0" fontId="58" fillId="0" borderId="0" xfId="0" applyFont="1" applyFill="1" applyAlignment="1"/>
    <xf numFmtId="0" fontId="58" fillId="0" borderId="0" xfId="0" applyFont="1" applyFill="1" applyBorder="1" applyAlignment="1"/>
    <xf numFmtId="0" fontId="46" fillId="0" borderId="126" xfId="1" applyFont="1" applyBorder="1"/>
    <xf numFmtId="3" fontId="53" fillId="0" borderId="127" xfId="1" applyNumberFormat="1" applyFont="1" applyFill="1" applyBorder="1"/>
    <xf numFmtId="0" fontId="46" fillId="0" borderId="128" xfId="1" applyFont="1" applyBorder="1"/>
    <xf numFmtId="0" fontId="46" fillId="0" borderId="129" xfId="1" applyFont="1" applyBorder="1"/>
    <xf numFmtId="3" fontId="53" fillId="0" borderId="99" xfId="1" applyNumberFormat="1" applyFont="1" applyFill="1" applyBorder="1"/>
    <xf numFmtId="0" fontId="46" fillId="0" borderId="8" xfId="1" applyFont="1" applyBorder="1"/>
    <xf numFmtId="3" fontId="53" fillId="0" borderId="8" xfId="1" applyNumberFormat="1" applyFont="1" applyFill="1" applyBorder="1"/>
    <xf numFmtId="0" fontId="46" fillId="0" borderId="130" xfId="1" applyFont="1" applyBorder="1"/>
    <xf numFmtId="3" fontId="53" fillId="0" borderId="102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30" xfId="1" applyFont="1" applyBorder="1"/>
    <xf numFmtId="3" fontId="20" fillId="0" borderId="102" xfId="1" applyNumberFormat="1" applyFont="1" applyFill="1" applyBorder="1" applyAlignment="1">
      <alignment horizontal="center" wrapText="1"/>
    </xf>
    <xf numFmtId="3" fontId="50" fillId="0" borderId="91" xfId="0" applyNumberFormat="1" applyFont="1" applyFill="1" applyBorder="1" applyAlignment="1"/>
    <xf numFmtId="3" fontId="14" fillId="0" borderId="91" xfId="0" applyNumberFormat="1" applyFont="1" applyFill="1" applyBorder="1" applyAlignment="1">
      <alignment horizontal="right"/>
    </xf>
    <xf numFmtId="0" fontId="57" fillId="0" borderId="90" xfId="0" applyFont="1" applyFill="1" applyBorder="1" applyAlignment="1">
      <alignment horizontal="left"/>
    </xf>
    <xf numFmtId="3" fontId="34" fillId="0" borderId="90" xfId="0" applyNumberFormat="1" applyFont="1" applyFill="1" applyBorder="1"/>
    <xf numFmtId="3" fontId="57" fillId="0" borderId="6" xfId="0" applyNumberFormat="1" applyFont="1" applyFill="1" applyBorder="1"/>
    <xf numFmtId="3" fontId="57" fillId="0" borderId="9" xfId="0" applyNumberFormat="1" applyFont="1" applyFill="1" applyBorder="1"/>
    <xf numFmtId="3" fontId="34" fillId="0" borderId="89" xfId="0" applyNumberFormat="1" applyFont="1" applyFill="1" applyBorder="1"/>
    <xf numFmtId="0" fontId="14" fillId="0" borderId="131" xfId="0" applyFont="1" applyFill="1" applyBorder="1" applyAlignment="1">
      <alignment horizontal="left"/>
    </xf>
    <xf numFmtId="3" fontId="14" fillId="0" borderId="131" xfId="0" applyNumberFormat="1" applyFont="1" applyFill="1" applyBorder="1"/>
    <xf numFmtId="0" fontId="61" fillId="0" borderId="0" xfId="0" applyFont="1" applyFill="1"/>
    <xf numFmtId="0" fontId="0" fillId="0" borderId="0" xfId="0" applyFont="1" applyFill="1"/>
    <xf numFmtId="3" fontId="60" fillId="0" borderId="91" xfId="0" applyNumberFormat="1" applyFont="1" applyFill="1" applyBorder="1"/>
    <xf numFmtId="3" fontId="45" fillId="0" borderId="132" xfId="1" applyNumberFormat="1" applyFont="1" applyFill="1" applyBorder="1"/>
    <xf numFmtId="3" fontId="52" fillId="0" borderId="133" xfId="1" applyNumberFormat="1" applyFont="1" applyFill="1" applyBorder="1"/>
    <xf numFmtId="3" fontId="45" fillId="0" borderId="81" xfId="1" applyNumberFormat="1" applyFont="1" applyFill="1" applyBorder="1"/>
    <xf numFmtId="3" fontId="45" fillId="0" borderId="82" xfId="1" applyNumberFormat="1" applyFont="1" applyFill="1" applyBorder="1"/>
    <xf numFmtId="3" fontId="14" fillId="0" borderId="91" xfId="1" applyNumberFormat="1" applyFont="1" applyFill="1" applyBorder="1" applyAlignment="1">
      <alignment horizontal="center" wrapText="1"/>
    </xf>
    <xf numFmtId="3" fontId="37" fillId="0" borderId="125" xfId="1" applyNumberFormat="1" applyFont="1" applyFill="1" applyBorder="1"/>
    <xf numFmtId="3" fontId="37" fillId="0" borderId="135" xfId="1" applyNumberFormat="1" applyFont="1" applyFill="1" applyBorder="1"/>
    <xf numFmtId="3" fontId="37" fillId="0" borderId="136" xfId="1" applyNumberFormat="1" applyFont="1" applyFill="1" applyBorder="1"/>
    <xf numFmtId="0" fontId="37" fillId="0" borderId="0" xfId="1" applyFont="1"/>
    <xf numFmtId="3" fontId="37" fillId="0" borderId="137" xfId="1" applyNumberFormat="1" applyFont="1" applyBorder="1"/>
    <xf numFmtId="3" fontId="37" fillId="0" borderId="135" xfId="1" applyNumberFormat="1" applyFont="1" applyBorder="1"/>
    <xf numFmtId="3" fontId="37" fillId="0" borderId="136" xfId="1" applyNumberFormat="1" applyFont="1" applyBorder="1"/>
    <xf numFmtId="0" fontId="62" fillId="0" borderId="0" xfId="0" applyFont="1"/>
    <xf numFmtId="3" fontId="45" fillId="0" borderId="143" xfId="1" applyNumberFormat="1" applyFont="1" applyFill="1" applyBorder="1"/>
    <xf numFmtId="3" fontId="52" fillId="0" borderId="144" xfId="1" applyNumberFormat="1" applyFont="1" applyFill="1" applyBorder="1"/>
    <xf numFmtId="3" fontId="52" fillId="0" borderId="145" xfId="1" applyNumberFormat="1" applyFont="1" applyFill="1" applyBorder="1"/>
    <xf numFmtId="3" fontId="52" fillId="0" borderId="146" xfId="1" applyNumberFormat="1" applyFont="1" applyFill="1" applyBorder="1"/>
    <xf numFmtId="3" fontId="45" fillId="0" borderId="62" xfId="1" applyNumberFormat="1" applyFont="1" applyFill="1" applyBorder="1"/>
    <xf numFmtId="3" fontId="52" fillId="0" borderId="70" xfId="1" applyNumberFormat="1" applyFont="1" applyFill="1" applyBorder="1"/>
    <xf numFmtId="3" fontId="14" fillId="0" borderId="102" xfId="1" applyNumberFormat="1" applyFont="1" applyFill="1" applyBorder="1" applyAlignment="1">
      <alignment horizontal="center" wrapText="1"/>
    </xf>
    <xf numFmtId="4" fontId="59" fillId="0" borderId="2" xfId="0" applyNumberFormat="1" applyFont="1" applyFill="1" applyBorder="1" applyAlignment="1">
      <alignment horizontal="right"/>
    </xf>
    <xf numFmtId="4" fontId="1" fillId="0" borderId="0" xfId="1" applyNumberFormat="1"/>
    <xf numFmtId="4" fontId="20" fillId="0" borderId="102" xfId="1" applyNumberFormat="1" applyFont="1" applyFill="1" applyBorder="1" applyAlignment="1">
      <alignment horizontal="center" wrapText="1"/>
    </xf>
    <xf numFmtId="4" fontId="37" fillId="0" borderId="7" xfId="1" applyNumberFormat="1" applyFont="1" applyFill="1" applyBorder="1"/>
    <xf numFmtId="4" fontId="37" fillId="0" borderId="10" xfId="1" applyNumberFormat="1" applyFont="1" applyFill="1" applyBorder="1"/>
    <xf numFmtId="4" fontId="37" fillId="0" borderId="31" xfId="1" applyNumberFormat="1" applyFont="1" applyFill="1" applyBorder="1"/>
    <xf numFmtId="4" fontId="1" fillId="0" borderId="0" xfId="1" applyNumberFormat="1" applyFill="1"/>
    <xf numFmtId="4" fontId="53" fillId="0" borderId="3" xfId="1" applyNumberFormat="1" applyFont="1" applyFill="1" applyBorder="1"/>
    <xf numFmtId="4" fontId="53" fillId="0" borderId="8" xfId="1" applyNumberFormat="1" applyFont="1" applyFill="1" applyBorder="1"/>
    <xf numFmtId="4" fontId="53" fillId="0" borderId="102" xfId="1" applyNumberFormat="1" applyFont="1" applyFill="1" applyBorder="1"/>
    <xf numFmtId="4" fontId="53" fillId="0" borderId="127" xfId="1" applyNumberFormat="1" applyFont="1" applyFill="1" applyBorder="1"/>
    <xf numFmtId="4" fontId="53" fillId="0" borderId="10" xfId="1" applyNumberFormat="1" applyFont="1" applyFill="1" applyBorder="1"/>
    <xf numFmtId="4" fontId="53" fillId="0" borderId="99" xfId="1" applyNumberFormat="1" applyFont="1" applyFill="1" applyBorder="1"/>
    <xf numFmtId="0" fontId="64" fillId="0" borderId="0" xfId="0" applyFont="1" applyFill="1"/>
    <xf numFmtId="3" fontId="14" fillId="0" borderId="11" xfId="0" applyNumberFormat="1" applyFont="1" applyFill="1" applyBorder="1" applyAlignment="1">
      <alignment horizontal="right"/>
    </xf>
    <xf numFmtId="2" fontId="1" fillId="0" borderId="0" xfId="1" applyNumberFormat="1"/>
    <xf numFmtId="3" fontId="21" fillId="0" borderId="24" xfId="1" applyNumberFormat="1" applyFont="1" applyFill="1" applyBorder="1" applyAlignment="1">
      <alignment horizontal="center" vertical="center" wrapText="1"/>
    </xf>
    <xf numFmtId="3" fontId="2" fillId="0" borderId="43" xfId="1" applyNumberFormat="1" applyFont="1" applyFill="1" applyBorder="1" applyAlignment="1">
      <alignment horizontal="right"/>
    </xf>
    <xf numFmtId="3" fontId="45" fillId="0" borderId="149" xfId="1" applyNumberFormat="1" applyFont="1" applyFill="1" applyBorder="1"/>
    <xf numFmtId="3" fontId="52" fillId="0" borderId="150" xfId="1" applyNumberFormat="1" applyFont="1" applyFill="1" applyBorder="1"/>
    <xf numFmtId="3" fontId="52" fillId="0" borderId="151" xfId="1" applyNumberFormat="1" applyFont="1" applyFill="1" applyBorder="1"/>
    <xf numFmtId="3" fontId="52" fillId="0" borderId="152" xfId="1" applyNumberFormat="1" applyFont="1" applyFill="1" applyBorder="1"/>
    <xf numFmtId="3" fontId="48" fillId="0" borderId="24" xfId="1" applyNumberFormat="1" applyFont="1" applyFill="1" applyBorder="1" applyAlignment="1">
      <alignment horizontal="right"/>
    </xf>
    <xf numFmtId="3" fontId="45" fillId="0" borderId="106" xfId="1" applyNumberFormat="1" applyFont="1" applyFill="1" applyBorder="1"/>
    <xf numFmtId="3" fontId="45" fillId="0" borderId="153" xfId="1" applyNumberFormat="1" applyFont="1" applyFill="1" applyBorder="1"/>
    <xf numFmtId="3" fontId="45" fillId="0" borderId="154" xfId="1" applyNumberFormat="1" applyFont="1" applyFill="1" applyBorder="1"/>
    <xf numFmtId="3" fontId="52" fillId="0" borderId="155" xfId="1" applyNumberFormat="1" applyFont="1" applyFill="1" applyBorder="1"/>
    <xf numFmtId="3" fontId="52" fillId="0" borderId="156" xfId="1" applyNumberFormat="1" applyFont="1" applyFill="1" applyBorder="1"/>
    <xf numFmtId="3" fontId="1" fillId="0" borderId="34" xfId="1" applyNumberFormat="1" applyFont="1" applyFill="1" applyBorder="1"/>
    <xf numFmtId="3" fontId="21" fillId="0" borderId="158" xfId="1" applyNumberFormat="1" applyFont="1" applyFill="1" applyBorder="1" applyAlignment="1">
      <alignment horizontal="center" vertical="center" wrapText="1"/>
    </xf>
    <xf numFmtId="3" fontId="21" fillId="0" borderId="159" xfId="1" applyNumberFormat="1" applyFont="1" applyFill="1" applyBorder="1" applyAlignment="1">
      <alignment horizontal="center" vertical="center" wrapText="1"/>
    </xf>
    <xf numFmtId="3" fontId="2" fillId="0" borderId="160" xfId="1" applyNumberFormat="1" applyFont="1" applyFill="1" applyBorder="1" applyAlignment="1">
      <alignment horizontal="right"/>
    </xf>
    <xf numFmtId="3" fontId="1" fillId="0" borderId="161" xfId="1" applyNumberFormat="1" applyFont="1" applyFill="1" applyBorder="1"/>
    <xf numFmtId="3" fontId="45" fillId="0" borderId="162" xfId="1" applyNumberFormat="1" applyFont="1" applyFill="1" applyBorder="1"/>
    <xf numFmtId="3" fontId="52" fillId="0" borderId="163" xfId="1" applyNumberFormat="1" applyFont="1" applyFill="1" applyBorder="1"/>
    <xf numFmtId="3" fontId="52" fillId="0" borderId="164" xfId="1" applyNumberFormat="1" applyFont="1" applyFill="1" applyBorder="1"/>
    <xf numFmtId="3" fontId="52" fillId="0" borderId="165" xfId="1" applyNumberFormat="1" applyFont="1" applyFill="1" applyBorder="1"/>
    <xf numFmtId="3" fontId="21" fillId="0" borderId="166" xfId="1" applyNumberFormat="1" applyFont="1" applyFill="1" applyBorder="1" applyAlignment="1">
      <alignment horizontal="center" vertical="center" wrapText="1"/>
    </xf>
    <xf numFmtId="3" fontId="2" fillId="0" borderId="167" xfId="1" applyNumberFormat="1" applyFont="1" applyFill="1" applyBorder="1" applyAlignment="1">
      <alignment horizontal="right"/>
    </xf>
    <xf numFmtId="3" fontId="1" fillId="0" borderId="168" xfId="1" applyNumberFormat="1" applyFont="1" applyFill="1" applyBorder="1"/>
    <xf numFmtId="3" fontId="45" fillId="0" borderId="169" xfId="1" applyNumberFormat="1" applyFont="1" applyFill="1" applyBorder="1"/>
    <xf numFmtId="3" fontId="52" fillId="0" borderId="170" xfId="1" applyNumberFormat="1" applyFont="1" applyFill="1" applyBorder="1"/>
    <xf numFmtId="3" fontId="52" fillId="0" borderId="157" xfId="1" applyNumberFormat="1" applyFont="1" applyFill="1" applyBorder="1"/>
    <xf numFmtId="3" fontId="52" fillId="0" borderId="171" xfId="1" applyNumberFormat="1" applyFont="1" applyFill="1" applyBorder="1"/>
    <xf numFmtId="3" fontId="21" fillId="0" borderId="12" xfId="1" applyNumberFormat="1" applyFont="1" applyFill="1" applyBorder="1" applyAlignment="1">
      <alignment horizontal="center" vertical="center" wrapText="1"/>
    </xf>
    <xf numFmtId="3" fontId="21" fillId="0" borderId="171" xfId="1" applyNumberFormat="1" applyFont="1" applyFill="1" applyBorder="1" applyAlignment="1">
      <alignment horizontal="center" vertical="center" wrapText="1"/>
    </xf>
    <xf numFmtId="3" fontId="2" fillId="0" borderId="172" xfId="1" applyNumberFormat="1" applyFont="1" applyFill="1" applyBorder="1" applyAlignment="1">
      <alignment horizontal="right"/>
    </xf>
    <xf numFmtId="3" fontId="52" fillId="0" borderId="173" xfId="1" applyNumberFormat="1" applyFont="1" applyFill="1" applyBorder="1"/>
    <xf numFmtId="0" fontId="27" fillId="0" borderId="111" xfId="1" applyFont="1" applyFill="1" applyBorder="1"/>
    <xf numFmtId="0" fontId="24" fillId="0" borderId="94" xfId="1" applyFont="1" applyFill="1" applyBorder="1"/>
    <xf numFmtId="0" fontId="24" fillId="0" borderId="118" xfId="1" applyFont="1" applyFill="1" applyBorder="1"/>
    <xf numFmtId="3" fontId="48" fillId="0" borderId="68" xfId="1" applyNumberFormat="1" applyFont="1" applyFill="1" applyBorder="1" applyAlignment="1">
      <alignment horizontal="right"/>
    </xf>
    <xf numFmtId="3" fontId="48" fillId="0" borderId="69" xfId="1" applyNumberFormat="1" applyFont="1" applyFill="1" applyBorder="1" applyAlignment="1">
      <alignment horizontal="right"/>
    </xf>
    <xf numFmtId="3" fontId="48" fillId="0" borderId="171" xfId="1" applyNumberFormat="1" applyFont="1" applyFill="1" applyBorder="1" applyAlignment="1">
      <alignment horizontal="right"/>
    </xf>
    <xf numFmtId="3" fontId="48" fillId="0" borderId="151" xfId="1" applyNumberFormat="1" applyFont="1" applyFill="1" applyBorder="1" applyAlignment="1">
      <alignment horizontal="right"/>
    </xf>
    <xf numFmtId="3" fontId="45" fillId="0" borderId="174" xfId="1" applyNumberFormat="1" applyFont="1" applyFill="1" applyBorder="1"/>
    <xf numFmtId="3" fontId="45" fillId="0" borderId="78" xfId="1" applyNumberFormat="1" applyFont="1" applyFill="1" applyBorder="1"/>
    <xf numFmtId="3" fontId="45" fillId="0" borderId="98" xfId="1" applyNumberFormat="1" applyFont="1" applyFill="1" applyBorder="1"/>
    <xf numFmtId="4" fontId="20" fillId="0" borderId="1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14" fillId="0" borderId="5" xfId="0" applyNumberFormat="1" applyFont="1" applyFill="1" applyBorder="1"/>
    <xf numFmtId="4" fontId="57" fillId="0" borderId="7" xfId="0" applyNumberFormat="1" applyFont="1" applyFill="1" applyBorder="1"/>
    <xf numFmtId="4" fontId="57" fillId="0" borderId="6" xfId="0" applyNumberFormat="1" applyFont="1" applyFill="1" applyBorder="1"/>
    <xf numFmtId="4" fontId="57" fillId="0" borderId="9" xfId="0" applyNumberFormat="1" applyFont="1" applyFill="1" applyBorder="1"/>
    <xf numFmtId="4" fontId="14" fillId="0" borderId="11" xfId="0" applyNumberFormat="1" applyFont="1" applyFill="1" applyBorder="1" applyAlignment="1">
      <alignment horizontal="right"/>
    </xf>
    <xf numFmtId="4" fontId="57" fillId="0" borderId="5" xfId="0" applyNumberFormat="1" applyFont="1" applyFill="1" applyBorder="1"/>
    <xf numFmtId="4" fontId="34" fillId="0" borderId="7" xfId="0" applyNumberFormat="1" applyFont="1" applyFill="1" applyBorder="1"/>
    <xf numFmtId="4" fontId="34" fillId="0" borderId="5" xfId="0" applyNumberFormat="1" applyFont="1" applyFill="1" applyBorder="1"/>
    <xf numFmtId="4" fontId="14" fillId="0" borderId="131" xfId="0" applyNumberFormat="1" applyFont="1" applyFill="1" applyBorder="1"/>
    <xf numFmtId="4" fontId="20" fillId="0" borderId="35" xfId="0" applyNumberFormat="1" applyFont="1" applyFill="1" applyBorder="1" applyAlignment="1">
      <alignment horizontal="right"/>
    </xf>
    <xf numFmtId="4" fontId="14" fillId="0" borderId="91" xfId="0" applyNumberFormat="1" applyFont="1" applyFill="1" applyBorder="1" applyAlignment="1">
      <alignment horizontal="right"/>
    </xf>
    <xf numFmtId="4" fontId="34" fillId="0" borderId="89" xfId="0" applyNumberFormat="1" applyFont="1" applyFill="1" applyBorder="1"/>
    <xf numFmtId="4" fontId="34" fillId="0" borderId="90" xfId="0" applyNumberFormat="1" applyFont="1" applyFill="1" applyBorder="1"/>
    <xf numFmtId="4" fontId="14" fillId="0" borderId="90" xfId="0" applyNumberFormat="1" applyFont="1" applyFill="1" applyBorder="1" applyAlignment="1">
      <alignment horizontal="right"/>
    </xf>
    <xf numFmtId="4" fontId="57" fillId="0" borderId="13" xfId="0" applyNumberFormat="1" applyFont="1" applyFill="1" applyBorder="1"/>
    <xf numFmtId="4" fontId="58" fillId="0" borderId="0" xfId="0" applyNumberFormat="1" applyFont="1" applyFill="1"/>
    <xf numFmtId="3" fontId="21" fillId="0" borderId="176" xfId="1" applyNumberFormat="1" applyFont="1" applyFill="1" applyBorder="1" applyAlignment="1">
      <alignment horizontal="center" vertical="center" wrapText="1"/>
    </xf>
    <xf numFmtId="3" fontId="2" fillId="0" borderId="177" xfId="1" applyNumberFormat="1" applyFont="1" applyFill="1" applyBorder="1" applyAlignment="1">
      <alignment horizontal="right"/>
    </xf>
    <xf numFmtId="3" fontId="48" fillId="0" borderId="173" xfId="1" applyNumberFormat="1" applyFont="1" applyFill="1" applyBorder="1" applyAlignment="1">
      <alignment horizontal="right"/>
    </xf>
    <xf numFmtId="3" fontId="45" fillId="0" borderId="141" xfId="1" applyNumberFormat="1" applyFont="1" applyFill="1" applyBorder="1"/>
    <xf numFmtId="3" fontId="2" fillId="0" borderId="178" xfId="1" applyNumberFormat="1" applyFont="1" applyFill="1" applyBorder="1" applyAlignment="1">
      <alignment horizontal="right"/>
    </xf>
    <xf numFmtId="3" fontId="1" fillId="0" borderId="175" xfId="1" applyNumberFormat="1" applyFont="1" applyFill="1" applyBorder="1"/>
    <xf numFmtId="3" fontId="1" fillId="0" borderId="96" xfId="1" applyNumberFormat="1" applyFont="1" applyFill="1" applyBorder="1"/>
    <xf numFmtId="3" fontId="52" fillId="0" borderId="87" xfId="1" applyNumberFormat="1" applyFont="1" applyFill="1" applyBorder="1"/>
    <xf numFmtId="0" fontId="23" fillId="0" borderId="114" xfId="1" applyFont="1" applyFill="1" applyBorder="1"/>
    <xf numFmtId="3" fontId="52" fillId="0" borderId="175" xfId="1" applyNumberFormat="1" applyFont="1" applyFill="1" applyBorder="1"/>
    <xf numFmtId="3" fontId="52" fillId="0" borderId="34" xfId="1" applyNumberFormat="1" applyFont="1" applyFill="1" applyBorder="1"/>
    <xf numFmtId="3" fontId="52" fillId="0" borderId="16" xfId="1" applyNumberFormat="1" applyFont="1" applyFill="1" applyBorder="1"/>
    <xf numFmtId="3" fontId="52" fillId="0" borderId="55" xfId="1" applyNumberFormat="1" applyFont="1" applyFill="1" applyBorder="1"/>
    <xf numFmtId="3" fontId="52" fillId="0" borderId="168" xfId="1" applyNumberFormat="1" applyFont="1" applyFill="1" applyBorder="1"/>
    <xf numFmtId="3" fontId="52" fillId="0" borderId="0" xfId="1" applyNumberFormat="1" applyFont="1" applyFill="1" applyBorder="1"/>
    <xf numFmtId="0" fontId="23" fillId="0" borderId="181" xfId="1" applyFont="1" applyFill="1" applyBorder="1"/>
    <xf numFmtId="0" fontId="24" fillId="0" borderId="182" xfId="1" applyFont="1" applyFill="1" applyBorder="1"/>
    <xf numFmtId="3" fontId="52" fillId="0" borderId="183" xfId="1" applyNumberFormat="1" applyFont="1" applyFill="1" applyBorder="1"/>
    <xf numFmtId="3" fontId="52" fillId="0" borderId="184" xfId="1" applyNumberFormat="1" applyFont="1" applyFill="1" applyBorder="1"/>
    <xf numFmtId="3" fontId="52" fillId="0" borderId="185" xfId="1" applyNumberFormat="1" applyFont="1" applyFill="1" applyBorder="1"/>
    <xf numFmtId="3" fontId="52" fillId="0" borderId="186" xfId="1" applyNumberFormat="1" applyFont="1" applyFill="1" applyBorder="1"/>
    <xf numFmtId="3" fontId="52" fillId="0" borderId="187" xfId="1" applyNumberFormat="1" applyFont="1" applyFill="1" applyBorder="1"/>
    <xf numFmtId="3" fontId="45" fillId="0" borderId="188" xfId="1" applyNumberFormat="1" applyFont="1" applyFill="1" applyBorder="1"/>
    <xf numFmtId="3" fontId="52" fillId="0" borderId="189" xfId="1" applyNumberFormat="1" applyFont="1" applyFill="1" applyBorder="1"/>
    <xf numFmtId="3" fontId="52" fillId="0" borderId="190" xfId="1" applyNumberFormat="1" applyFont="1" applyFill="1" applyBorder="1"/>
    <xf numFmtId="3" fontId="52" fillId="0" borderId="191" xfId="1" applyNumberFormat="1" applyFont="1" applyFill="1" applyBorder="1"/>
    <xf numFmtId="3" fontId="52" fillId="0" borderId="77" xfId="1" applyNumberFormat="1" applyFont="1" applyFill="1" applyBorder="1"/>
    <xf numFmtId="3" fontId="52" fillId="0" borderId="192" xfId="1" applyNumberFormat="1" applyFont="1" applyFill="1" applyBorder="1"/>
    <xf numFmtId="0" fontId="61" fillId="0" borderId="0" xfId="0" applyFont="1" applyAlignment="1">
      <alignment horizontal="center"/>
    </xf>
    <xf numFmtId="3" fontId="56" fillId="0" borderId="0" xfId="0" applyNumberFormat="1" applyFont="1" applyBorder="1" applyAlignment="1"/>
    <xf numFmtId="0" fontId="60" fillId="0" borderId="92" xfId="0" applyFont="1" applyBorder="1" applyAlignment="1">
      <alignment horizontal="center"/>
    </xf>
    <xf numFmtId="0" fontId="60" fillId="0" borderId="91" xfId="0" applyFont="1" applyBorder="1" applyAlignment="1">
      <alignment horizontal="center"/>
    </xf>
    <xf numFmtId="0" fontId="57" fillId="0" borderId="134" xfId="0" applyFont="1" applyBorder="1"/>
    <xf numFmtId="0" fontId="57" fillId="0" borderId="197" xfId="0" applyFont="1" applyBorder="1"/>
    <xf numFmtId="3" fontId="57" fillId="0" borderId="125" xfId="0" applyNumberFormat="1" applyFont="1" applyBorder="1"/>
    <xf numFmtId="0" fontId="57" fillId="0" borderId="66" xfId="0" applyFont="1" applyBorder="1"/>
    <xf numFmtId="0" fontId="57" fillId="0" borderId="155" xfId="0" applyFont="1" applyBorder="1"/>
    <xf numFmtId="3" fontId="57" fillId="0" borderId="135" xfId="0" applyNumberFormat="1" applyFont="1" applyBorder="1"/>
    <xf numFmtId="0" fontId="57" fillId="0" borderId="74" xfId="0" applyFont="1" applyBorder="1" applyAlignment="1">
      <alignment horizontal="center" vertical="center"/>
    </xf>
    <xf numFmtId="0" fontId="57" fillId="0" borderId="69" xfId="0" applyFont="1" applyBorder="1"/>
    <xf numFmtId="0" fontId="57" fillId="0" borderId="195" xfId="0" applyFont="1" applyBorder="1"/>
    <xf numFmtId="3" fontId="57" fillId="0" borderId="198" xfId="0" applyNumberFormat="1" applyFont="1" applyBorder="1"/>
    <xf numFmtId="3" fontId="60" fillId="0" borderId="91" xfId="0" applyNumberFormat="1" applyFont="1" applyBorder="1"/>
    <xf numFmtId="0" fontId="57" fillId="0" borderId="0" xfId="0" applyFont="1"/>
    <xf numFmtId="3" fontId="57" fillId="0" borderId="0" xfId="0" applyNumberFormat="1" applyFont="1"/>
    <xf numFmtId="4" fontId="60" fillId="0" borderId="91" xfId="0" applyNumberFormat="1" applyFont="1" applyBorder="1" applyAlignment="1">
      <alignment horizontal="center" wrapText="1"/>
    </xf>
    <xf numFmtId="4" fontId="57" fillId="0" borderId="125" xfId="0" applyNumberFormat="1" applyFont="1" applyBorder="1"/>
    <xf numFmtId="4" fontId="57" fillId="0" borderId="135" xfId="0" applyNumberFormat="1" applyFont="1" applyBorder="1"/>
    <xf numFmtId="4" fontId="57" fillId="0" borderId="198" xfId="0" applyNumberFormat="1" applyFont="1" applyBorder="1"/>
    <xf numFmtId="4" fontId="60" fillId="0" borderId="91" xfId="0" applyNumberFormat="1" applyFont="1" applyBorder="1"/>
    <xf numFmtId="4" fontId="57" fillId="0" borderId="0" xfId="0" applyNumberFormat="1" applyFont="1"/>
    <xf numFmtId="3" fontId="34" fillId="0" borderId="0" xfId="0" applyNumberFormat="1" applyFont="1" applyFill="1" applyBorder="1"/>
    <xf numFmtId="3" fontId="57" fillId="0" borderId="0" xfId="0" applyNumberFormat="1" applyFont="1" applyFill="1" applyBorder="1"/>
    <xf numFmtId="0" fontId="64" fillId="0" borderId="0" xfId="0" applyFont="1" applyFill="1" applyBorder="1"/>
    <xf numFmtId="0" fontId="0" fillId="0" borderId="0" xfId="0" applyFont="1" applyFill="1" applyBorder="1"/>
    <xf numFmtId="4" fontId="0" fillId="0" borderId="0" xfId="0" applyNumberFormat="1" applyFill="1"/>
    <xf numFmtId="0" fontId="57" fillId="0" borderId="74" xfId="0" applyFont="1" applyBorder="1" applyAlignment="1">
      <alignment horizontal="center" vertical="center"/>
    </xf>
    <xf numFmtId="4" fontId="34" fillId="0" borderId="6" xfId="0" applyNumberFormat="1" applyFont="1" applyFill="1" applyBorder="1"/>
    <xf numFmtId="4" fontId="34" fillId="0" borderId="9" xfId="0" applyNumberFormat="1" applyFont="1" applyFill="1" applyBorder="1"/>
    <xf numFmtId="4" fontId="34" fillId="0" borderId="13" xfId="0" applyNumberFormat="1" applyFont="1" applyFill="1" applyBorder="1"/>
    <xf numFmtId="4" fontId="52" fillId="0" borderId="0" xfId="0" applyNumberFormat="1" applyFont="1" applyFill="1"/>
    <xf numFmtId="0" fontId="57" fillId="0" borderId="103" xfId="0" applyFont="1" applyBorder="1" applyAlignment="1">
      <alignment horizontal="center" vertical="center"/>
    </xf>
    <xf numFmtId="3" fontId="57" fillId="0" borderId="66" xfId="0" applyNumberFormat="1" applyFont="1" applyBorder="1"/>
    <xf numFmtId="4" fontId="0" fillId="0" borderId="0" xfId="0" applyNumberFormat="1"/>
    <xf numFmtId="0" fontId="58" fillId="0" borderId="0" xfId="0" applyFont="1"/>
    <xf numFmtId="4" fontId="58" fillId="0" borderId="0" xfId="0" applyNumberFormat="1" applyFont="1"/>
    <xf numFmtId="3" fontId="71" fillId="0" borderId="0" xfId="0" applyNumberFormat="1" applyFont="1" applyBorder="1"/>
    <xf numFmtId="3" fontId="71" fillId="0" borderId="180" xfId="0" applyNumberFormat="1" applyFont="1" applyBorder="1"/>
    <xf numFmtId="0" fontId="0" fillId="0" borderId="7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4" fontId="0" fillId="0" borderId="58" xfId="0" applyNumberFormat="1" applyBorder="1" applyAlignment="1">
      <alignment horizontal="center" vertical="center" wrapText="1"/>
    </xf>
    <xf numFmtId="49" fontId="0" fillId="0" borderId="83" xfId="0" applyNumberFormat="1" applyBorder="1" applyAlignment="1">
      <alignment horizontal="center" vertical="center" wrapText="1"/>
    </xf>
    <xf numFmtId="4" fontId="0" fillId="0" borderId="135" xfId="0" applyNumberFormat="1" applyBorder="1" applyAlignment="1">
      <alignment horizontal="center" vertical="center"/>
    </xf>
    <xf numFmtId="164" fontId="0" fillId="0" borderId="65" xfId="0" applyNumberFormat="1" applyBorder="1" applyAlignment="1">
      <alignment horizontal="center" vertical="center" wrapText="1"/>
    </xf>
    <xf numFmtId="0" fontId="78" fillId="0" borderId="58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4" fontId="13" fillId="0" borderId="74" xfId="0" applyNumberFormat="1" applyFont="1" applyBorder="1"/>
    <xf numFmtId="4" fontId="13" fillId="0" borderId="66" xfId="0" applyNumberFormat="1" applyFont="1" applyBorder="1"/>
    <xf numFmtId="0" fontId="0" fillId="0" borderId="10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14" fontId="0" fillId="0" borderId="68" xfId="0" applyNumberFormat="1" applyBorder="1" applyAlignment="1">
      <alignment horizontal="center" vertical="center" wrapText="1"/>
    </xf>
    <xf numFmtId="49" fontId="0" fillId="0" borderId="173" xfId="0" applyNumberFormat="1" applyBorder="1" applyAlignment="1">
      <alignment horizontal="center" vertical="center" wrapText="1"/>
    </xf>
    <xf numFmtId="0" fontId="0" fillId="0" borderId="173" xfId="0" applyBorder="1" applyAlignment="1">
      <alignment horizontal="center" vertical="center" wrapText="1"/>
    </xf>
    <xf numFmtId="165" fontId="0" fillId="0" borderId="68" xfId="0" applyNumberFormat="1" applyBorder="1" applyAlignment="1">
      <alignment horizontal="center" vertical="center" wrapText="1"/>
    </xf>
    <xf numFmtId="14" fontId="13" fillId="0" borderId="68" xfId="0" applyNumberFormat="1" applyFont="1" applyBorder="1" applyAlignment="1">
      <alignment horizontal="center" vertical="center" wrapText="1"/>
    </xf>
    <xf numFmtId="49" fontId="13" fillId="0" borderId="173" xfId="0" applyNumberFormat="1" applyFont="1" applyBorder="1" applyAlignment="1">
      <alignment horizontal="center" vertical="center" wrapText="1"/>
    </xf>
    <xf numFmtId="164" fontId="15" fillId="0" borderId="65" xfId="0" applyNumberFormat="1" applyFont="1" applyBorder="1" applyAlignment="1">
      <alignment horizontal="center" vertical="center" wrapText="1"/>
    </xf>
    <xf numFmtId="0" fontId="0" fillId="0" borderId="173" xfId="0" applyFill="1" applyBorder="1" applyAlignment="1">
      <alignment horizontal="center" vertical="center" wrapText="1"/>
    </xf>
    <xf numFmtId="165" fontId="0" fillId="0" borderId="58" xfId="0" applyNumberFormat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4" fontId="61" fillId="0" borderId="91" xfId="0" applyNumberFormat="1" applyFont="1" applyBorder="1" applyAlignment="1">
      <alignment horizontal="center"/>
    </xf>
    <xf numFmtId="0" fontId="0" fillId="0" borderId="140" xfId="0" applyBorder="1" applyAlignment="1">
      <alignment horizontal="left" vertical="center"/>
    </xf>
    <xf numFmtId="4" fontId="7" fillId="0" borderId="100" xfId="0" applyNumberFormat="1" applyFont="1" applyBorder="1"/>
    <xf numFmtId="4" fontId="7" fillId="0" borderId="92" xfId="0" applyNumberFormat="1" applyFont="1" applyBorder="1"/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14" fontId="0" fillId="0" borderId="104" xfId="0" applyNumberFormat="1" applyBorder="1" applyAlignment="1">
      <alignment horizontal="center" vertical="center" wrapText="1"/>
    </xf>
    <xf numFmtId="49" fontId="0" fillId="0" borderId="204" xfId="0" applyNumberFormat="1" applyBorder="1" applyAlignment="1">
      <alignment horizontal="center" vertical="center" wrapText="1"/>
    </xf>
    <xf numFmtId="4" fontId="0" fillId="0" borderId="125" xfId="0" applyNumberFormat="1" applyBorder="1" applyAlignment="1">
      <alignment horizontal="center" vertical="center"/>
    </xf>
    <xf numFmtId="164" fontId="0" fillId="0" borderId="209" xfId="0" applyNumberFormat="1" applyBorder="1" applyAlignment="1">
      <alignment horizontal="center" vertical="center" wrapText="1"/>
    </xf>
    <xf numFmtId="0" fontId="78" fillId="0" borderId="104" xfId="0" applyFont="1" applyBorder="1" applyAlignment="1">
      <alignment horizontal="center" vertical="center" wrapText="1"/>
    </xf>
    <xf numFmtId="0" fontId="0" fillId="0" borderId="204" xfId="0" applyBorder="1" applyAlignment="1">
      <alignment horizontal="center" vertical="center" wrapText="1"/>
    </xf>
    <xf numFmtId="4" fontId="13" fillId="0" borderId="103" xfId="0" applyNumberFormat="1" applyFont="1" applyBorder="1"/>
    <xf numFmtId="4" fontId="13" fillId="0" borderId="134" xfId="0" applyNumberFormat="1" applyFont="1" applyBorder="1"/>
    <xf numFmtId="3" fontId="52" fillId="0" borderId="208" xfId="1" applyNumberFormat="1" applyFont="1" applyFill="1" applyBorder="1"/>
    <xf numFmtId="3" fontId="58" fillId="0" borderId="0" xfId="0" applyNumberFormat="1" applyFont="1"/>
    <xf numFmtId="3" fontId="67" fillId="0" borderId="103" xfId="3" applyNumberFormat="1" applyFont="1" applyFill="1" applyBorder="1" applyAlignment="1">
      <alignment horizontal="center"/>
    </xf>
    <xf numFmtId="3" fontId="31" fillId="0" borderId="134" xfId="3" applyNumberFormat="1" applyFont="1" applyFill="1" applyBorder="1"/>
    <xf numFmtId="3" fontId="31" fillId="0" borderId="103" xfId="3" applyNumberFormat="1" applyFont="1" applyFill="1" applyBorder="1" applyAlignment="1">
      <alignment horizontal="right"/>
    </xf>
    <xf numFmtId="3" fontId="31" fillId="0" borderId="104" xfId="3" applyNumberFormat="1" applyFont="1" applyFill="1" applyBorder="1" applyAlignment="1">
      <alignment horizontal="right"/>
    </xf>
    <xf numFmtId="3" fontId="67" fillId="0" borderId="134" xfId="3" applyNumberFormat="1" applyFont="1" applyFill="1" applyBorder="1" applyAlignment="1">
      <alignment horizontal="right"/>
    </xf>
    <xf numFmtId="3" fontId="67" fillId="0" borderId="103" xfId="3" applyNumberFormat="1" applyFont="1" applyFill="1" applyBorder="1" applyAlignment="1">
      <alignment horizontal="right"/>
    </xf>
    <xf numFmtId="3" fontId="71" fillId="0" borderId="137" xfId="0" applyNumberFormat="1" applyFont="1" applyFill="1" applyBorder="1"/>
    <xf numFmtId="3" fontId="31" fillId="0" borderId="137" xfId="3" applyNumberFormat="1" applyFont="1" applyFill="1" applyBorder="1" applyAlignment="1">
      <alignment horizontal="right"/>
    </xf>
    <xf numFmtId="3" fontId="31" fillId="0" borderId="197" xfId="3" applyNumberFormat="1" applyFont="1" applyFill="1" applyBorder="1" applyAlignment="1">
      <alignment horizontal="right"/>
    </xf>
    <xf numFmtId="3" fontId="31" fillId="0" borderId="125" xfId="3" applyNumberFormat="1" applyFont="1" applyFill="1" applyBorder="1" applyAlignment="1">
      <alignment horizontal="right"/>
    </xf>
    <xf numFmtId="3" fontId="67" fillId="0" borderId="103" xfId="5" applyNumberFormat="1" applyFont="1" applyFill="1" applyBorder="1" applyAlignment="1">
      <alignment horizontal="right"/>
    </xf>
    <xf numFmtId="3" fontId="67" fillId="0" borderId="104" xfId="5" applyNumberFormat="1" applyFont="1" applyFill="1" applyBorder="1" applyAlignment="1">
      <alignment horizontal="right"/>
    </xf>
    <xf numFmtId="3" fontId="67" fillId="0" borderId="103" xfId="0" applyNumberFormat="1" applyFont="1" applyFill="1" applyBorder="1"/>
    <xf numFmtId="3" fontId="67" fillId="0" borderId="104" xfId="0" applyNumberFormat="1" applyFont="1" applyFill="1" applyBorder="1"/>
    <xf numFmtId="3" fontId="67" fillId="0" borderId="134" xfId="0" applyNumberFormat="1" applyFont="1" applyFill="1" applyBorder="1"/>
    <xf numFmtId="3" fontId="67" fillId="0" borderId="179" xfId="0" applyNumberFormat="1" applyFont="1" applyFill="1" applyBorder="1"/>
    <xf numFmtId="3" fontId="67" fillId="0" borderId="125" xfId="0" applyNumberFormat="1" applyFont="1" applyFill="1" applyBorder="1"/>
    <xf numFmtId="3" fontId="71" fillId="0" borderId="0" xfId="0" applyNumberFormat="1" applyFont="1" applyFill="1"/>
    <xf numFmtId="3" fontId="67" fillId="0" borderId="74" xfId="3" applyNumberFormat="1" applyFont="1" applyFill="1" applyBorder="1" applyAlignment="1">
      <alignment horizontal="center"/>
    </xf>
    <xf numFmtId="3" fontId="31" fillId="0" borderId="66" xfId="3" applyNumberFormat="1" applyFont="1" applyFill="1" applyBorder="1"/>
    <xf numFmtId="3" fontId="31" fillId="0" borderId="74" xfId="3" applyNumberFormat="1" applyFont="1" applyFill="1" applyBorder="1" applyAlignment="1">
      <alignment horizontal="right"/>
    </xf>
    <xf numFmtId="3" fontId="31" fillId="0" borderId="58" xfId="3" applyNumberFormat="1" applyFont="1" applyFill="1" applyBorder="1" applyAlignment="1">
      <alignment horizontal="right"/>
    </xf>
    <xf numFmtId="3" fontId="67" fillId="0" borderId="66" xfId="3" applyNumberFormat="1" applyFont="1" applyFill="1" applyBorder="1" applyAlignment="1">
      <alignment horizontal="right"/>
    </xf>
    <xf numFmtId="3" fontId="67" fillId="0" borderId="74" xfId="3" applyNumberFormat="1" applyFont="1" applyFill="1" applyBorder="1" applyAlignment="1">
      <alignment horizontal="right"/>
    </xf>
    <xf numFmtId="3" fontId="71" fillId="0" borderId="135" xfId="0" applyNumberFormat="1" applyFont="1" applyFill="1" applyBorder="1"/>
    <xf numFmtId="3" fontId="31" fillId="0" borderId="155" xfId="3" applyNumberFormat="1" applyFont="1" applyFill="1" applyBorder="1" applyAlignment="1">
      <alignment horizontal="right"/>
    </xf>
    <xf numFmtId="3" fontId="31" fillId="0" borderId="135" xfId="3" applyNumberFormat="1" applyFont="1" applyFill="1" applyBorder="1" applyAlignment="1">
      <alignment horizontal="right"/>
    </xf>
    <xf numFmtId="3" fontId="67" fillId="0" borderId="74" xfId="5" applyNumberFormat="1" applyFont="1" applyFill="1" applyBorder="1" applyAlignment="1">
      <alignment horizontal="right"/>
    </xf>
    <xf numFmtId="3" fontId="67" fillId="0" borderId="58" xfId="5" applyNumberFormat="1" applyFont="1" applyFill="1" applyBorder="1" applyAlignment="1">
      <alignment horizontal="right"/>
    </xf>
    <xf numFmtId="3" fontId="67" fillId="0" borderId="74" xfId="0" applyNumberFormat="1" applyFont="1" applyFill="1" applyBorder="1"/>
    <xf numFmtId="3" fontId="67" fillId="0" borderId="58" xfId="0" applyNumberFormat="1" applyFont="1" applyFill="1" applyBorder="1"/>
    <xf numFmtId="3" fontId="67" fillId="0" borderId="66" xfId="0" applyNumberFormat="1" applyFont="1" applyFill="1" applyBorder="1"/>
    <xf numFmtId="3" fontId="67" fillId="0" borderId="135" xfId="0" applyNumberFormat="1" applyFont="1" applyFill="1" applyBorder="1"/>
    <xf numFmtId="3" fontId="67" fillId="0" borderId="105" xfId="3" applyNumberFormat="1" applyFont="1" applyFill="1" applyBorder="1" applyAlignment="1">
      <alignment horizontal="center"/>
    </xf>
    <xf numFmtId="3" fontId="31" fillId="0" borderId="69" xfId="3" applyNumberFormat="1" applyFont="1" applyFill="1" applyBorder="1"/>
    <xf numFmtId="3" fontId="31" fillId="0" borderId="75" xfId="3" applyNumberFormat="1" applyFont="1" applyFill="1" applyBorder="1" applyAlignment="1">
      <alignment horizontal="right"/>
    </xf>
    <xf numFmtId="3" fontId="31" fillId="0" borderId="71" xfId="3" applyNumberFormat="1" applyFont="1" applyFill="1" applyBorder="1" applyAlignment="1">
      <alignment horizontal="right"/>
    </xf>
    <xf numFmtId="3" fontId="67" fillId="0" borderId="72" xfId="3" applyNumberFormat="1" applyFont="1" applyFill="1" applyBorder="1" applyAlignment="1">
      <alignment horizontal="right"/>
    </xf>
    <xf numFmtId="3" fontId="67" fillId="0" borderId="75" xfId="3" applyNumberFormat="1" applyFont="1" applyFill="1" applyBorder="1" applyAlignment="1">
      <alignment horizontal="right"/>
    </xf>
    <xf numFmtId="3" fontId="67" fillId="0" borderId="156" xfId="3" applyNumberFormat="1" applyFont="1" applyFill="1" applyBorder="1" applyAlignment="1">
      <alignment horizontal="right"/>
    </xf>
    <xf numFmtId="3" fontId="31" fillId="0" borderId="90" xfId="3" applyNumberFormat="1" applyFont="1" applyFill="1" applyBorder="1" applyAlignment="1">
      <alignment horizontal="right"/>
    </xf>
    <xf numFmtId="3" fontId="31" fillId="0" borderId="156" xfId="3" applyNumberFormat="1" applyFont="1" applyFill="1" applyBorder="1" applyAlignment="1">
      <alignment horizontal="right"/>
    </xf>
    <xf numFmtId="3" fontId="31" fillId="0" borderId="136" xfId="3" applyNumberFormat="1" applyFont="1" applyFill="1" applyBorder="1" applyAlignment="1">
      <alignment horizontal="right"/>
    </xf>
    <xf numFmtId="3" fontId="67" fillId="0" borderId="75" xfId="5" applyNumberFormat="1" applyFont="1" applyFill="1" applyBorder="1" applyAlignment="1">
      <alignment horizontal="right"/>
    </xf>
    <xf numFmtId="3" fontId="67" fillId="0" borderId="71" xfId="5" applyNumberFormat="1" applyFont="1" applyFill="1" applyBorder="1" applyAlignment="1">
      <alignment horizontal="right"/>
    </xf>
    <xf numFmtId="3" fontId="67" fillId="0" borderId="194" xfId="0" applyNumberFormat="1" applyFont="1" applyFill="1" applyBorder="1" applyAlignment="1">
      <alignment horizontal="center"/>
    </xf>
    <xf numFmtId="3" fontId="67" fillId="0" borderId="198" xfId="0" applyNumberFormat="1" applyFont="1" applyFill="1" applyBorder="1" applyAlignment="1"/>
    <xf numFmtId="3" fontId="31" fillId="0" borderId="73" xfId="3" applyNumberFormat="1" applyFont="1" applyFill="1" applyBorder="1" applyAlignment="1">
      <alignment horizontal="right"/>
    </xf>
    <xf numFmtId="3" fontId="67" fillId="0" borderId="63" xfId="3" applyNumberFormat="1" applyFont="1" applyFill="1" applyBorder="1" applyAlignment="1">
      <alignment horizontal="right"/>
    </xf>
    <xf numFmtId="3" fontId="67" fillId="0" borderId="64" xfId="3" applyNumberFormat="1" applyFont="1" applyFill="1" applyBorder="1" applyAlignment="1">
      <alignment horizontal="right"/>
    </xf>
    <xf numFmtId="3" fontId="31" fillId="0" borderId="154" xfId="3" applyNumberFormat="1" applyFont="1" applyFill="1" applyBorder="1" applyAlignment="1">
      <alignment horizontal="right"/>
    </xf>
    <xf numFmtId="3" fontId="67" fillId="0" borderId="73" xfId="5" applyNumberFormat="1" applyFont="1" applyFill="1" applyBorder="1" applyAlignment="1">
      <alignment horizontal="right"/>
    </xf>
    <xf numFmtId="3" fontId="67" fillId="0" borderId="63" xfId="5" applyNumberFormat="1" applyFont="1" applyFill="1" applyBorder="1" applyAlignment="1">
      <alignment horizontal="right"/>
    </xf>
    <xf numFmtId="3" fontId="71" fillId="0" borderId="134" xfId="0" applyNumberFormat="1" applyFont="1" applyFill="1" applyBorder="1"/>
    <xf numFmtId="3" fontId="71" fillId="0" borderId="179" xfId="0" applyNumberFormat="1" applyFont="1" applyFill="1" applyBorder="1"/>
    <xf numFmtId="3" fontId="67" fillId="0" borderId="58" xfId="3" applyNumberFormat="1" applyFont="1" applyFill="1" applyBorder="1" applyAlignment="1">
      <alignment horizontal="right"/>
    </xf>
    <xf numFmtId="3" fontId="71" fillId="0" borderId="66" xfId="0" applyNumberFormat="1" applyFont="1" applyFill="1" applyBorder="1"/>
    <xf numFmtId="3" fontId="31" fillId="0" borderId="105" xfId="3" applyNumberFormat="1" applyFont="1" applyFill="1" applyBorder="1" applyAlignment="1">
      <alignment horizontal="right"/>
    </xf>
    <xf numFmtId="3" fontId="67" fillId="0" borderId="68" xfId="3" applyNumberFormat="1" applyFont="1" applyFill="1" applyBorder="1" applyAlignment="1">
      <alignment horizontal="right"/>
    </xf>
    <xf numFmtId="3" fontId="67" fillId="0" borderId="69" xfId="3" applyNumberFormat="1" applyFont="1" applyFill="1" applyBorder="1" applyAlignment="1">
      <alignment horizontal="right"/>
    </xf>
    <xf numFmtId="3" fontId="67" fillId="0" borderId="105" xfId="3" applyNumberFormat="1" applyFont="1" applyFill="1" applyBorder="1" applyAlignment="1">
      <alignment horizontal="right"/>
    </xf>
    <xf numFmtId="3" fontId="67" fillId="0" borderId="195" xfId="3" applyNumberFormat="1" applyFont="1" applyFill="1" applyBorder="1" applyAlignment="1">
      <alignment horizontal="right"/>
    </xf>
    <xf numFmtId="3" fontId="31" fillId="0" borderId="195" xfId="3" applyNumberFormat="1" applyFont="1" applyFill="1" applyBorder="1" applyAlignment="1">
      <alignment horizontal="right"/>
    </xf>
    <xf numFmtId="3" fontId="31" fillId="0" borderId="198" xfId="3" applyNumberFormat="1" applyFont="1" applyFill="1" applyBorder="1" applyAlignment="1">
      <alignment horizontal="right"/>
    </xf>
    <xf numFmtId="3" fontId="67" fillId="0" borderId="105" xfId="5" applyNumberFormat="1" applyFont="1" applyFill="1" applyBorder="1" applyAlignment="1">
      <alignment horizontal="right"/>
    </xf>
    <xf numFmtId="3" fontId="67" fillId="0" borderId="68" xfId="5" applyNumberFormat="1" applyFont="1" applyFill="1" applyBorder="1" applyAlignment="1">
      <alignment horizontal="right"/>
    </xf>
    <xf numFmtId="3" fontId="67" fillId="0" borderId="105" xfId="0" applyNumberFormat="1" applyFont="1" applyFill="1" applyBorder="1"/>
    <xf numFmtId="3" fontId="67" fillId="0" borderId="68" xfId="0" applyNumberFormat="1" applyFont="1" applyFill="1" applyBorder="1"/>
    <xf numFmtId="3" fontId="67" fillId="0" borderId="69" xfId="0" applyNumberFormat="1" applyFont="1" applyFill="1" applyBorder="1"/>
    <xf numFmtId="3" fontId="67" fillId="0" borderId="198" xfId="0" applyNumberFormat="1" applyFont="1" applyFill="1" applyBorder="1"/>
    <xf numFmtId="3" fontId="67" fillId="0" borderId="73" xfId="3" applyNumberFormat="1" applyFont="1" applyFill="1" applyBorder="1" applyAlignment="1">
      <alignment horizontal="right"/>
    </xf>
    <xf numFmtId="3" fontId="67" fillId="0" borderId="154" xfId="3" applyNumberFormat="1" applyFont="1" applyFill="1" applyBorder="1" applyAlignment="1">
      <alignment horizontal="right"/>
    </xf>
    <xf numFmtId="3" fontId="67" fillId="0" borderId="155" xfId="3" applyNumberFormat="1" applyFont="1" applyFill="1" applyBorder="1" applyAlignment="1">
      <alignment horizontal="right"/>
    </xf>
    <xf numFmtId="3" fontId="67" fillId="0" borderId="75" xfId="0" applyNumberFormat="1" applyFont="1" applyFill="1" applyBorder="1"/>
    <xf numFmtId="3" fontId="67" fillId="0" borderId="70" xfId="0" applyNumberFormat="1" applyFont="1" applyFill="1" applyBorder="1"/>
    <xf numFmtId="3" fontId="67" fillId="0" borderId="72" xfId="0" applyNumberFormat="1" applyFont="1" applyFill="1" applyBorder="1"/>
    <xf numFmtId="3" fontId="67" fillId="0" borderId="206" xfId="0" applyNumberFormat="1" applyFont="1" applyFill="1" applyBorder="1"/>
    <xf numFmtId="3" fontId="67" fillId="0" borderId="136" xfId="0" applyNumberFormat="1" applyFont="1" applyFill="1" applyBorder="1"/>
    <xf numFmtId="3" fontId="31" fillId="0" borderId="103" xfId="5" applyNumberFormat="1" applyFont="1" applyFill="1" applyBorder="1" applyAlignment="1">
      <alignment horizontal="center" vertical="center" wrapText="1"/>
    </xf>
    <xf numFmtId="3" fontId="67" fillId="0" borderId="134" xfId="5" applyNumberFormat="1" applyFont="1" applyFill="1" applyBorder="1" applyAlignment="1"/>
    <xf numFmtId="3" fontId="31" fillId="0" borderId="63" xfId="3" applyNumberFormat="1" applyFont="1" applyFill="1" applyBorder="1" applyAlignment="1">
      <alignment horizontal="right"/>
    </xf>
    <xf numFmtId="3" fontId="31" fillId="0" borderId="64" xfId="3" applyNumberFormat="1" applyFont="1" applyFill="1" applyBorder="1" applyAlignment="1">
      <alignment horizontal="right"/>
    </xf>
    <xf numFmtId="3" fontId="71" fillId="0" borderId="175" xfId="0" applyNumberFormat="1" applyFont="1" applyBorder="1"/>
    <xf numFmtId="3" fontId="71" fillId="0" borderId="79" xfId="0" applyNumberFormat="1" applyFont="1" applyBorder="1"/>
    <xf numFmtId="3" fontId="67" fillId="0" borderId="89" xfId="0" applyNumberFormat="1" applyFont="1" applyFill="1" applyBorder="1"/>
    <xf numFmtId="3" fontId="71" fillId="0" borderId="0" xfId="0" applyNumberFormat="1" applyFont="1"/>
    <xf numFmtId="3" fontId="31" fillId="0" borderId="74" xfId="5" applyNumberFormat="1" applyFont="1" applyFill="1" applyBorder="1" applyAlignment="1">
      <alignment horizontal="center" vertical="center" wrapText="1"/>
    </xf>
    <xf numFmtId="3" fontId="67" fillId="0" borderId="66" xfId="5" applyNumberFormat="1" applyFont="1" applyFill="1" applyBorder="1" applyAlignment="1"/>
    <xf numFmtId="3" fontId="31" fillId="0" borderId="66" xfId="3" applyNumberFormat="1" applyFont="1" applyFill="1" applyBorder="1" applyAlignment="1">
      <alignment horizontal="right"/>
    </xf>
    <xf numFmtId="3" fontId="75" fillId="0" borderId="135" xfId="3" applyNumberFormat="1" applyFont="1" applyFill="1" applyBorder="1" applyAlignment="1">
      <alignment horizontal="right"/>
    </xf>
    <xf numFmtId="3" fontId="31" fillId="0" borderId="105" xfId="5" applyNumberFormat="1" applyFont="1" applyFill="1" applyBorder="1" applyAlignment="1">
      <alignment horizontal="center" vertical="center" wrapText="1"/>
    </xf>
    <xf numFmtId="3" fontId="67" fillId="0" borderId="69" xfId="5" applyNumberFormat="1" applyFont="1" applyFill="1" applyBorder="1" applyAlignment="1"/>
    <xf numFmtId="3" fontId="31" fillId="0" borderId="68" xfId="3" applyNumberFormat="1" applyFont="1" applyFill="1" applyBorder="1" applyAlignment="1">
      <alignment horizontal="right"/>
    </xf>
    <xf numFmtId="3" fontId="31" fillId="0" borderId="69" xfId="3" applyNumberFormat="1" applyFont="1" applyFill="1" applyBorder="1" applyAlignment="1">
      <alignment horizontal="right"/>
    </xf>
    <xf numFmtId="3" fontId="60" fillId="0" borderId="100" xfId="0" applyNumberFormat="1" applyFont="1" applyFill="1" applyBorder="1"/>
    <xf numFmtId="3" fontId="60" fillId="0" borderId="138" xfId="0" applyNumberFormat="1" applyFont="1" applyFill="1" applyBorder="1"/>
    <xf numFmtId="3" fontId="60" fillId="0" borderId="92" xfId="0" applyNumberFormat="1" applyFont="1" applyFill="1" applyBorder="1"/>
    <xf numFmtId="3" fontId="60" fillId="0" borderId="196" xfId="0" applyNumberFormat="1" applyFont="1" applyFill="1" applyBorder="1"/>
    <xf numFmtId="3" fontId="60" fillId="0" borderId="93" xfId="0" applyNumberFormat="1" applyFont="1" applyFill="1" applyBorder="1"/>
    <xf numFmtId="3" fontId="60" fillId="0" borderId="0" xfId="0" applyNumberFormat="1" applyFont="1" applyFill="1"/>
    <xf numFmtId="0" fontId="31" fillId="0" borderId="194" xfId="5" applyFont="1" applyFill="1" applyBorder="1" applyAlignment="1">
      <alignment horizontal="center"/>
    </xf>
    <xf numFmtId="0" fontId="31" fillId="0" borderId="58" xfId="3" applyFont="1" applyFill="1" applyBorder="1" applyAlignment="1">
      <alignment vertical="center"/>
    </xf>
    <xf numFmtId="49" fontId="31" fillId="0" borderId="103" xfId="5" applyNumberFormat="1" applyFont="1" applyFill="1" applyBorder="1" applyAlignment="1">
      <alignment horizontal="center" vertical="center" wrapText="1"/>
    </xf>
    <xf numFmtId="49" fontId="31" fillId="0" borderId="75" xfId="5" applyNumberFormat="1" applyFont="1" applyFill="1" applyBorder="1" applyAlignment="1">
      <alignment horizontal="center" vertical="center" wrapText="1"/>
    </xf>
    <xf numFmtId="49" fontId="31" fillId="0" borderId="71" xfId="5" applyNumberFormat="1" applyFont="1" applyFill="1" applyBorder="1" applyAlignment="1">
      <alignment vertical="center" wrapText="1"/>
    </xf>
    <xf numFmtId="49" fontId="31" fillId="0" borderId="71" xfId="5" applyNumberFormat="1" applyFont="1" applyFill="1" applyBorder="1" applyAlignment="1">
      <alignment horizontal="center" vertical="center" wrapText="1"/>
    </xf>
    <xf numFmtId="3" fontId="45" fillId="17" borderId="174" xfId="3" applyNumberFormat="1" applyFont="1" applyFill="1" applyBorder="1" applyAlignment="1">
      <alignment horizontal="right" vertical="center"/>
    </xf>
    <xf numFmtId="3" fontId="45" fillId="17" borderId="199" xfId="3" applyNumberFormat="1" applyFont="1" applyFill="1" applyBorder="1" applyAlignment="1">
      <alignment horizontal="right" vertical="center"/>
    </xf>
    <xf numFmtId="3" fontId="45" fillId="17" borderId="201" xfId="3" applyNumberFormat="1" applyFont="1" applyFill="1" applyBorder="1" applyAlignment="1">
      <alignment horizontal="right" vertical="center"/>
    </xf>
    <xf numFmtId="3" fontId="45" fillId="17" borderId="138" xfId="3" applyNumberFormat="1" applyFont="1" applyFill="1" applyBorder="1" applyAlignment="1">
      <alignment horizontal="right" vertical="center"/>
    </xf>
    <xf numFmtId="3" fontId="45" fillId="17" borderId="196" xfId="3" applyNumberFormat="1" applyFont="1" applyFill="1" applyBorder="1" applyAlignment="1">
      <alignment horizontal="right" vertical="center"/>
    </xf>
    <xf numFmtId="3" fontId="45" fillId="17" borderId="142" xfId="3" applyNumberFormat="1" applyFont="1" applyFill="1" applyBorder="1" applyAlignment="1">
      <alignment horizontal="right" vertical="center"/>
    </xf>
    <xf numFmtId="3" fontId="45" fillId="17" borderId="98" xfId="3" applyNumberFormat="1" applyFont="1" applyFill="1" applyBorder="1" applyAlignment="1">
      <alignment horizontal="right" vertical="center"/>
    </xf>
    <xf numFmtId="3" fontId="45" fillId="17" borderId="174" xfId="5" applyNumberFormat="1" applyFont="1" applyFill="1" applyBorder="1" applyAlignment="1">
      <alignment horizontal="right"/>
    </xf>
    <xf numFmtId="3" fontId="45" fillId="17" borderId="199" xfId="5" applyNumberFormat="1" applyFont="1" applyFill="1" applyBorder="1" applyAlignment="1">
      <alignment horizontal="right"/>
    </xf>
    <xf numFmtId="3" fontId="72" fillId="17" borderId="100" xfId="0" applyNumberFormat="1" applyFont="1" applyFill="1" applyBorder="1"/>
    <xf numFmtId="3" fontId="72" fillId="17" borderId="138" xfId="0" applyNumberFormat="1" applyFont="1" applyFill="1" applyBorder="1"/>
    <xf numFmtId="3" fontId="72" fillId="17" borderId="196" xfId="0" applyNumberFormat="1" applyFont="1" applyFill="1" applyBorder="1"/>
    <xf numFmtId="3" fontId="72" fillId="17" borderId="140" xfId="0" applyNumberFormat="1" applyFont="1" applyFill="1" applyBorder="1"/>
    <xf numFmtId="3" fontId="72" fillId="17" borderId="91" xfId="0" applyNumberFormat="1" applyFont="1" applyFill="1" applyBorder="1"/>
    <xf numFmtId="3" fontId="66" fillId="18" borderId="73" xfId="3" applyNumberFormat="1" applyFont="1" applyFill="1" applyBorder="1" applyAlignment="1">
      <alignment horizontal="center" wrapText="1"/>
    </xf>
    <xf numFmtId="3" fontId="66" fillId="18" borderId="64" xfId="3" applyNumberFormat="1" applyFont="1" applyFill="1" applyBorder="1" applyAlignment="1">
      <alignment horizontal="left" vertical="center"/>
    </xf>
    <xf numFmtId="3" fontId="7" fillId="18" borderId="73" xfId="3" applyNumberFormat="1" applyFont="1" applyFill="1" applyBorder="1" applyAlignment="1">
      <alignment horizontal="right" vertical="center"/>
    </xf>
    <xf numFmtId="3" fontId="7" fillId="18" borderId="63" xfId="5" applyNumberFormat="1" applyFont="1" applyFill="1" applyBorder="1" applyAlignment="1">
      <alignment horizontal="right" vertical="center"/>
    </xf>
    <xf numFmtId="3" fontId="7" fillId="18" borderId="64" xfId="5" applyNumberFormat="1" applyFont="1" applyFill="1" applyBorder="1" applyAlignment="1">
      <alignment horizontal="right" vertical="center" wrapText="1"/>
    </xf>
    <xf numFmtId="3" fontId="7" fillId="18" borderId="73" xfId="5" applyNumberFormat="1" applyFont="1" applyFill="1" applyBorder="1" applyAlignment="1">
      <alignment horizontal="right" vertical="center" wrapText="1"/>
    </xf>
    <xf numFmtId="3" fontId="7" fillId="18" borderId="154" xfId="5" applyNumberFormat="1" applyFont="1" applyFill="1" applyBorder="1" applyAlignment="1">
      <alignment horizontal="right" vertical="center" wrapText="1"/>
    </xf>
    <xf numFmtId="3" fontId="7" fillId="18" borderId="137" xfId="5" applyNumberFormat="1" applyFont="1" applyFill="1" applyBorder="1" applyAlignment="1">
      <alignment horizontal="right" vertical="center"/>
    </xf>
    <xf numFmtId="3" fontId="7" fillId="18" borderId="137" xfId="3" applyNumberFormat="1" applyFont="1" applyFill="1" applyBorder="1" applyAlignment="1">
      <alignment horizontal="right" vertical="center" wrapText="1"/>
    </xf>
    <xf numFmtId="3" fontId="7" fillId="18" borderId="73" xfId="5" applyNumberFormat="1" applyFont="1" applyFill="1" applyBorder="1" applyAlignment="1">
      <alignment horizontal="right"/>
    </xf>
    <xf numFmtId="3" fontId="1" fillId="18" borderId="63" xfId="5" applyNumberFormat="1" applyFont="1" applyFill="1" applyBorder="1" applyAlignment="1">
      <alignment horizontal="right"/>
    </xf>
    <xf numFmtId="3" fontId="42" fillId="18" borderId="0" xfId="0" applyNumberFormat="1" applyFont="1" applyFill="1" applyBorder="1" applyAlignment="1">
      <alignment horizontal="center"/>
    </xf>
    <xf numFmtId="3" fontId="42" fillId="18" borderId="89" xfId="0" applyNumberFormat="1" applyFont="1" applyFill="1" applyBorder="1" applyAlignment="1"/>
    <xf numFmtId="3" fontId="66" fillId="18" borderId="100" xfId="3" applyNumberFormat="1" applyFont="1" applyFill="1" applyBorder="1" applyAlignment="1">
      <alignment horizontal="center"/>
    </xf>
    <xf numFmtId="3" fontId="66" fillId="18" borderId="196" xfId="3" applyNumberFormat="1" applyFont="1" applyFill="1" applyBorder="1" applyAlignment="1"/>
    <xf numFmtId="3" fontId="66" fillId="18" borderId="100" xfId="3" applyNumberFormat="1" applyFont="1" applyFill="1" applyBorder="1" applyAlignment="1">
      <alignment horizontal="right"/>
    </xf>
    <xf numFmtId="3" fontId="66" fillId="18" borderId="138" xfId="3" applyNumberFormat="1" applyFont="1" applyFill="1" applyBorder="1" applyAlignment="1">
      <alignment horizontal="right"/>
    </xf>
    <xf numFmtId="3" fontId="66" fillId="18" borderId="196" xfId="3" applyNumberFormat="1" applyFont="1" applyFill="1" applyBorder="1" applyAlignment="1">
      <alignment horizontal="right"/>
    </xf>
    <xf numFmtId="3" fontId="66" fillId="18" borderId="92" xfId="3" applyNumberFormat="1" applyFont="1" applyFill="1" applyBorder="1" applyAlignment="1">
      <alignment horizontal="right"/>
    </xf>
    <xf numFmtId="3" fontId="66" fillId="18" borderId="91" xfId="3" applyNumberFormat="1" applyFont="1" applyFill="1" applyBorder="1" applyAlignment="1">
      <alignment horizontal="right"/>
    </xf>
    <xf numFmtId="3" fontId="7" fillId="18" borderId="100" xfId="5" applyNumberFormat="1" applyFont="1" applyFill="1" applyBorder="1" applyAlignment="1">
      <alignment horizontal="right"/>
    </xf>
    <xf numFmtId="3" fontId="7" fillId="18" borderId="138" xfId="5" applyNumberFormat="1" applyFont="1" applyFill="1" applyBorder="1" applyAlignment="1">
      <alignment horizontal="right"/>
    </xf>
    <xf numFmtId="3" fontId="74" fillId="18" borderId="100" xfId="0" applyNumberFormat="1" applyFont="1" applyFill="1" applyBorder="1" applyAlignment="1"/>
    <xf numFmtId="3" fontId="74" fillId="18" borderId="138" xfId="0" applyNumberFormat="1" applyFont="1" applyFill="1" applyBorder="1" applyAlignment="1"/>
    <xf numFmtId="3" fontId="74" fillId="18" borderId="196" xfId="0" applyNumberFormat="1" applyFont="1" applyFill="1" applyBorder="1" applyAlignment="1"/>
    <xf numFmtId="3" fontId="74" fillId="18" borderId="140" xfId="0" applyNumberFormat="1" applyFont="1" applyFill="1" applyBorder="1" applyAlignment="1"/>
    <xf numFmtId="3" fontId="74" fillId="18" borderId="91" xfId="0" applyNumberFormat="1" applyFont="1" applyFill="1" applyBorder="1" applyAlignment="1"/>
    <xf numFmtId="3" fontId="66" fillId="18" borderId="196" xfId="3" applyNumberFormat="1" applyFont="1" applyFill="1" applyBorder="1"/>
    <xf numFmtId="3" fontId="7" fillId="18" borderId="175" xfId="5" applyNumberFormat="1" applyFont="1" applyFill="1" applyBorder="1" applyAlignment="1">
      <alignment horizontal="right"/>
    </xf>
    <xf numFmtId="3" fontId="7" fillId="18" borderId="79" xfId="5" applyNumberFormat="1" applyFont="1" applyFill="1" applyBorder="1" applyAlignment="1">
      <alignment horizontal="right"/>
    </xf>
    <xf numFmtId="3" fontId="7" fillId="18" borderId="180" xfId="5" applyNumberFormat="1" applyFont="1" applyFill="1" applyBorder="1" applyAlignment="1">
      <alignment horizontal="right"/>
    </xf>
    <xf numFmtId="3" fontId="7" fillId="18" borderId="196" xfId="5" applyNumberFormat="1" applyFont="1" applyFill="1" applyBorder="1" applyAlignment="1">
      <alignment horizontal="right"/>
    </xf>
    <xf numFmtId="3" fontId="7" fillId="18" borderId="92" xfId="5" applyNumberFormat="1" applyFont="1" applyFill="1" applyBorder="1" applyAlignment="1">
      <alignment horizontal="right"/>
    </xf>
    <xf numFmtId="3" fontId="7" fillId="18" borderId="89" xfId="5" applyNumberFormat="1" applyFont="1" applyFill="1" applyBorder="1" applyAlignment="1">
      <alignment horizontal="right"/>
    </xf>
    <xf numFmtId="3" fontId="7" fillId="18" borderId="96" xfId="5" applyNumberFormat="1" applyFont="1" applyFill="1" applyBorder="1" applyAlignment="1">
      <alignment horizontal="right"/>
    </xf>
    <xf numFmtId="3" fontId="74" fillId="18" borderId="100" xfId="0" applyNumberFormat="1" applyFont="1" applyFill="1" applyBorder="1"/>
    <xf numFmtId="3" fontId="7" fillId="18" borderId="138" xfId="0" applyNumberFormat="1" applyFont="1" applyFill="1" applyBorder="1"/>
    <xf numFmtId="3" fontId="74" fillId="18" borderId="196" xfId="0" applyNumberFormat="1" applyFont="1" applyFill="1" applyBorder="1"/>
    <xf numFmtId="3" fontId="74" fillId="18" borderId="140" xfId="0" applyNumberFormat="1" applyFont="1" applyFill="1" applyBorder="1"/>
    <xf numFmtId="3" fontId="7" fillId="18" borderId="91" xfId="0" applyNumberFormat="1" applyFont="1" applyFill="1" applyBorder="1"/>
    <xf numFmtId="3" fontId="7" fillId="18" borderId="174" xfId="5" applyNumberFormat="1" applyFont="1" applyFill="1" applyBorder="1" applyAlignment="1">
      <alignment horizontal="right"/>
    </xf>
    <xf numFmtId="3" fontId="7" fillId="18" borderId="199" xfId="5" applyNumberFormat="1" applyFont="1" applyFill="1" applyBorder="1" applyAlignment="1">
      <alignment horizontal="right"/>
    </xf>
    <xf numFmtId="3" fontId="7" fillId="18" borderId="201" xfId="5" applyNumberFormat="1" applyFont="1" applyFill="1" applyBorder="1" applyAlignment="1">
      <alignment horizontal="right"/>
    </xf>
    <xf numFmtId="3" fontId="7" fillId="18" borderId="98" xfId="5" applyNumberFormat="1" applyFont="1" applyFill="1" applyBorder="1" applyAlignment="1">
      <alignment horizontal="right"/>
    </xf>
    <xf numFmtId="3" fontId="7" fillId="18" borderId="142" xfId="5" applyNumberFormat="1" applyFont="1" applyFill="1" applyBorder="1" applyAlignment="1">
      <alignment horizontal="right"/>
    </xf>
    <xf numFmtId="3" fontId="74" fillId="18" borderId="138" xfId="0" applyNumberFormat="1" applyFont="1" applyFill="1" applyBorder="1"/>
    <xf numFmtId="3" fontId="7" fillId="18" borderId="174" xfId="3" applyNumberFormat="1" applyFont="1" applyFill="1" applyBorder="1" applyAlignment="1">
      <alignment horizontal="right"/>
    </xf>
    <xf numFmtId="3" fontId="7" fillId="18" borderId="199" xfId="3" applyNumberFormat="1" applyFont="1" applyFill="1" applyBorder="1" applyAlignment="1">
      <alignment horizontal="right"/>
    </xf>
    <xf numFmtId="3" fontId="7" fillId="18" borderId="201" xfId="3" applyNumberFormat="1" applyFont="1" applyFill="1" applyBorder="1" applyAlignment="1">
      <alignment horizontal="right"/>
    </xf>
    <xf numFmtId="3" fontId="7" fillId="18" borderId="98" xfId="3" applyNumberFormat="1" applyFont="1" applyFill="1" applyBorder="1" applyAlignment="1">
      <alignment horizontal="right"/>
    </xf>
    <xf numFmtId="3" fontId="7" fillId="18" borderId="142" xfId="3" applyNumberFormat="1" applyFont="1" applyFill="1" applyBorder="1" applyAlignment="1">
      <alignment horizontal="right"/>
    </xf>
    <xf numFmtId="3" fontId="1" fillId="18" borderId="199" xfId="5" applyNumberFormat="1" applyFont="1" applyFill="1" applyBorder="1" applyAlignment="1">
      <alignment horizontal="right"/>
    </xf>
    <xf numFmtId="3" fontId="42" fillId="18" borderId="100" xfId="0" applyNumberFormat="1" applyFont="1" applyFill="1" applyBorder="1"/>
    <xf numFmtId="3" fontId="42" fillId="18" borderId="138" xfId="0" applyNumberFormat="1" applyFont="1" applyFill="1" applyBorder="1"/>
    <xf numFmtId="3" fontId="42" fillId="18" borderId="196" xfId="0" applyNumberFormat="1" applyFont="1" applyFill="1" applyBorder="1"/>
    <xf numFmtId="3" fontId="42" fillId="18" borderId="140" xfId="0" applyNumberFormat="1" applyFont="1" applyFill="1" applyBorder="1"/>
    <xf numFmtId="3" fontId="1" fillId="18" borderId="91" xfId="0" applyNumberFormat="1" applyFont="1" applyFill="1" applyBorder="1"/>
    <xf numFmtId="3" fontId="7" fillId="18" borderId="174" xfId="5" applyNumberFormat="1" applyFont="1" applyFill="1" applyBorder="1" applyAlignment="1">
      <alignment horizontal="center"/>
    </xf>
    <xf numFmtId="3" fontId="7" fillId="18" borderId="201" xfId="5" applyNumberFormat="1" applyFont="1" applyFill="1" applyBorder="1" applyAlignment="1"/>
    <xf numFmtId="3" fontId="76" fillId="18" borderId="142" xfId="3" applyNumberFormat="1" applyFont="1" applyFill="1" applyBorder="1" applyAlignment="1">
      <alignment horizontal="right"/>
    </xf>
    <xf numFmtId="3" fontId="7" fillId="18" borderId="100" xfId="5" applyNumberFormat="1" applyFont="1" applyFill="1" applyBorder="1" applyAlignment="1">
      <alignment horizontal="center"/>
    </xf>
    <xf numFmtId="3" fontId="7" fillId="18" borderId="196" xfId="5" applyNumberFormat="1" applyFont="1" applyFill="1" applyBorder="1" applyAlignment="1"/>
    <xf numFmtId="3" fontId="7" fillId="18" borderId="191" xfId="5" applyNumberFormat="1" applyFont="1" applyFill="1" applyBorder="1" applyAlignment="1">
      <alignment horizontal="center"/>
    </xf>
    <xf numFmtId="3" fontId="7" fillId="18" borderId="192" xfId="5" applyNumberFormat="1" applyFont="1" applyFill="1" applyBorder="1" applyAlignment="1"/>
    <xf numFmtId="3" fontId="42" fillId="18" borderId="191" xfId="0" applyNumberFormat="1" applyFont="1" applyFill="1" applyBorder="1"/>
    <xf numFmtId="3" fontId="42" fillId="18" borderId="77" xfId="0" applyNumberFormat="1" applyFont="1" applyFill="1" applyBorder="1"/>
    <xf numFmtId="3" fontId="42" fillId="18" borderId="192" xfId="0" applyNumberFormat="1" applyFont="1" applyFill="1" applyBorder="1"/>
    <xf numFmtId="3" fontId="42" fillId="18" borderId="139" xfId="0" applyNumberFormat="1" applyFont="1" applyFill="1" applyBorder="1"/>
    <xf numFmtId="3" fontId="1" fillId="18" borderId="90" xfId="0" applyNumberFormat="1" applyFont="1" applyFill="1" applyBorder="1"/>
    <xf numFmtId="3" fontId="45" fillId="17" borderId="100" xfId="0" applyNumberFormat="1" applyFont="1" applyFill="1" applyBorder="1" applyAlignment="1">
      <alignment horizontal="center"/>
    </xf>
    <xf numFmtId="3" fontId="45" fillId="17" borderId="92" xfId="0" applyNumberFormat="1" applyFont="1" applyFill="1" applyBorder="1"/>
    <xf numFmtId="3" fontId="45" fillId="17" borderId="100" xfId="0" applyNumberFormat="1" applyFont="1" applyFill="1" applyBorder="1"/>
    <xf numFmtId="3" fontId="45" fillId="17" borderId="138" xfId="0" applyNumberFormat="1" applyFont="1" applyFill="1" applyBorder="1"/>
    <xf numFmtId="3" fontId="52" fillId="17" borderId="92" xfId="0" applyNumberFormat="1" applyFont="1" applyFill="1" applyBorder="1"/>
    <xf numFmtId="3" fontId="45" fillId="17" borderId="91" xfId="0" applyNumberFormat="1" applyFont="1" applyFill="1" applyBorder="1"/>
    <xf numFmtId="3" fontId="52" fillId="17" borderId="91" xfId="0" applyNumberFormat="1" applyFont="1" applyFill="1" applyBorder="1"/>
    <xf numFmtId="3" fontId="52" fillId="17" borderId="138" xfId="0" applyNumberFormat="1" applyFont="1" applyFill="1" applyBorder="1"/>
    <xf numFmtId="3" fontId="45" fillId="17" borderId="191" xfId="0" applyNumberFormat="1" applyFont="1" applyFill="1" applyBorder="1"/>
    <xf numFmtId="3" fontId="58" fillId="17" borderId="77" xfId="0" applyNumberFormat="1" applyFont="1" applyFill="1" applyBorder="1"/>
    <xf numFmtId="3" fontId="58" fillId="17" borderId="192" xfId="0" applyNumberFormat="1" applyFont="1" applyFill="1" applyBorder="1"/>
    <xf numFmtId="3" fontId="72" fillId="17" borderId="139" xfId="0" applyNumberFormat="1" applyFont="1" applyFill="1" applyBorder="1"/>
    <xf numFmtId="3" fontId="52" fillId="17" borderId="90" xfId="0" applyNumberFormat="1" applyFont="1" applyFill="1" applyBorder="1"/>
    <xf numFmtId="3" fontId="60" fillId="17" borderId="100" xfId="0" applyNumberFormat="1" applyFont="1" applyFill="1" applyBorder="1"/>
    <xf numFmtId="3" fontId="60" fillId="17" borderId="93" xfId="0" applyNumberFormat="1" applyFont="1" applyFill="1" applyBorder="1"/>
    <xf numFmtId="3" fontId="60" fillId="17" borderId="90" xfId="0" applyNumberFormat="1" applyFont="1" applyFill="1" applyBorder="1"/>
    <xf numFmtId="3" fontId="42" fillId="0" borderId="0" xfId="0" applyNumberFormat="1" applyFont="1" applyFill="1"/>
    <xf numFmtId="4" fontId="0" fillId="0" borderId="0" xfId="0" applyNumberFormat="1" applyFill="1" applyBorder="1"/>
    <xf numFmtId="2" fontId="0" fillId="0" borderId="0" xfId="0" applyNumberFormat="1" applyFill="1"/>
    <xf numFmtId="2" fontId="61" fillId="0" borderId="0" xfId="0" applyNumberFormat="1" applyFont="1" applyFill="1"/>
    <xf numFmtId="4" fontId="37" fillId="0" borderId="125" xfId="1" applyNumberFormat="1" applyFont="1" applyFill="1" applyBorder="1"/>
    <xf numFmtId="4" fontId="37" fillId="0" borderId="135" xfId="1" applyNumberFormat="1" applyFont="1" applyFill="1" applyBorder="1"/>
    <xf numFmtId="4" fontId="37" fillId="0" borderId="136" xfId="1" applyNumberFormat="1" applyFont="1" applyFill="1" applyBorder="1"/>
    <xf numFmtId="0" fontId="51" fillId="0" borderId="41" xfId="0" applyFont="1" applyFill="1" applyBorder="1" applyAlignment="1">
      <alignment horizontal="center" wrapText="1"/>
    </xf>
    <xf numFmtId="0" fontId="51" fillId="0" borderId="0" xfId="1" applyFont="1" applyFill="1" applyBorder="1" applyAlignment="1">
      <alignment horizontal="center"/>
    </xf>
    <xf numFmtId="3" fontId="47" fillId="0" borderId="107" xfId="1" applyNumberFormat="1" applyFont="1" applyFill="1" applyBorder="1" applyAlignment="1">
      <alignment horizontal="center"/>
    </xf>
    <xf numFmtId="3" fontId="47" fillId="0" borderId="141" xfId="1" applyNumberFormat="1" applyFont="1" applyFill="1" applyBorder="1" applyAlignment="1">
      <alignment horizontal="center"/>
    </xf>
    <xf numFmtId="3" fontId="47" fillId="0" borderId="147" xfId="1" applyNumberFormat="1" applyFont="1" applyFill="1" applyBorder="1" applyAlignment="1">
      <alignment horizontal="center"/>
    </xf>
    <xf numFmtId="3" fontId="47" fillId="0" borderId="48" xfId="1" applyNumberFormat="1" applyFont="1" applyFill="1" applyBorder="1" applyAlignment="1">
      <alignment horizontal="center"/>
    </xf>
    <xf numFmtId="3" fontId="47" fillId="0" borderId="98" xfId="1" applyNumberFormat="1" applyFont="1" applyFill="1" applyBorder="1" applyAlignment="1">
      <alignment horizontal="center"/>
    </xf>
    <xf numFmtId="3" fontId="47" fillId="0" borderId="148" xfId="1" applyNumberFormat="1" applyFont="1" applyFill="1" applyBorder="1" applyAlignment="1">
      <alignment horizontal="center"/>
    </xf>
    <xf numFmtId="0" fontId="14" fillId="0" borderId="107" xfId="1" applyFont="1" applyFill="1" applyBorder="1" applyAlignment="1">
      <alignment horizontal="left" vertical="center"/>
    </xf>
    <xf numFmtId="0" fontId="14" fillId="0" borderId="98" xfId="1" applyFont="1" applyFill="1" applyBorder="1" applyAlignment="1">
      <alignment horizontal="left" vertical="center"/>
    </xf>
    <xf numFmtId="0" fontId="14" fillId="0" borderId="108" xfId="1" applyFont="1" applyFill="1" applyBorder="1" applyAlignment="1">
      <alignment horizontal="left" vertical="center"/>
    </xf>
    <xf numFmtId="0" fontId="14" fillId="0" borderId="93" xfId="1" applyFont="1" applyFill="1" applyBorder="1" applyAlignment="1">
      <alignment horizontal="left" vertical="center"/>
    </xf>
    <xf numFmtId="3" fontId="47" fillId="0" borderId="32" xfId="1" applyNumberFormat="1" applyFont="1" applyFill="1" applyBorder="1" applyAlignment="1">
      <alignment horizontal="center"/>
    </xf>
    <xf numFmtId="3" fontId="47" fillId="0" borderId="80" xfId="1" applyNumberFormat="1" applyFont="1" applyFill="1" applyBorder="1" applyAlignment="1">
      <alignment horizontal="center"/>
    </xf>
    <xf numFmtId="3" fontId="47" fillId="0" borderId="97" xfId="1" applyNumberFormat="1" applyFont="1" applyFill="1" applyBorder="1" applyAlignment="1">
      <alignment horizontal="center"/>
    </xf>
    <xf numFmtId="3" fontId="47" fillId="0" borderId="35" xfId="1" applyNumberFormat="1" applyFont="1" applyFill="1" applyBorder="1" applyAlignment="1">
      <alignment horizontal="center"/>
    </xf>
    <xf numFmtId="3" fontId="47" fillId="0" borderId="9" xfId="1" applyNumberFormat="1" applyFont="1" applyFill="1" applyBorder="1" applyAlignment="1">
      <alignment horizontal="center"/>
    </xf>
    <xf numFmtId="3" fontId="37" fillId="0" borderId="140" xfId="1" applyNumberFormat="1" applyFont="1" applyFill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63" xfId="1" applyFont="1" applyBorder="1" applyAlignment="1">
      <alignment horizontal="center"/>
    </xf>
    <xf numFmtId="0" fontId="20" fillId="0" borderId="64" xfId="1" applyFont="1" applyBorder="1" applyAlignment="1">
      <alignment horizontal="center"/>
    </xf>
    <xf numFmtId="0" fontId="20" fillId="0" borderId="74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20" fillId="0" borderId="66" xfId="1" applyFont="1" applyBorder="1" applyAlignment="1">
      <alignment horizontal="center"/>
    </xf>
    <xf numFmtId="0" fontId="20" fillId="0" borderId="75" xfId="1" applyFont="1" applyBorder="1" applyAlignment="1">
      <alignment horizontal="center"/>
    </xf>
    <xf numFmtId="0" fontId="20" fillId="0" borderId="71" xfId="1" applyFont="1" applyBorder="1" applyAlignment="1">
      <alignment horizontal="center"/>
    </xf>
    <xf numFmtId="0" fontId="20" fillId="0" borderId="72" xfId="1" applyFont="1" applyBorder="1" applyAlignment="1">
      <alignment horizontal="center"/>
    </xf>
    <xf numFmtId="3" fontId="14" fillId="0" borderId="141" xfId="1" applyNumberFormat="1" applyFont="1" applyBorder="1" applyAlignment="1">
      <alignment horizontal="center"/>
    </xf>
    <xf numFmtId="3" fontId="14" fillId="0" borderId="139" xfId="1" applyNumberFormat="1" applyFont="1" applyBorder="1" applyAlignment="1">
      <alignment horizontal="center"/>
    </xf>
    <xf numFmtId="3" fontId="14" fillId="0" borderId="101" xfId="1" applyNumberFormat="1" applyFont="1" applyBorder="1" applyAlignment="1">
      <alignment horizontal="center" vertical="center"/>
    </xf>
    <xf numFmtId="3" fontId="14" fillId="0" borderId="92" xfId="1" applyNumberFormat="1" applyFont="1" applyBorder="1" applyAlignment="1">
      <alignment horizontal="center" vertical="center"/>
    </xf>
    <xf numFmtId="3" fontId="34" fillId="0" borderId="104" xfId="1" applyNumberFormat="1" applyFont="1" applyBorder="1" applyAlignment="1">
      <alignment horizontal="left"/>
    </xf>
    <xf numFmtId="0" fontId="44" fillId="0" borderId="134" xfId="2" applyFont="1" applyBorder="1" applyAlignment="1">
      <alignment horizontal="left"/>
    </xf>
    <xf numFmtId="3" fontId="34" fillId="0" borderId="58" xfId="1" applyNumberFormat="1" applyFont="1" applyBorder="1" applyAlignment="1">
      <alignment horizontal="left"/>
    </xf>
    <xf numFmtId="3" fontId="34" fillId="0" borderId="66" xfId="1" applyNumberFormat="1" applyFont="1" applyBorder="1" applyAlignment="1">
      <alignment horizontal="left"/>
    </xf>
    <xf numFmtId="4" fontId="46" fillId="0" borderId="0" xfId="1" applyNumberFormat="1" applyFont="1" applyBorder="1" applyAlignment="1">
      <alignment horizontal="center"/>
    </xf>
    <xf numFmtId="3" fontId="34" fillId="0" borderId="71" xfId="1" applyNumberFormat="1" applyFont="1" applyBorder="1" applyAlignment="1">
      <alignment horizontal="left"/>
    </xf>
    <xf numFmtId="3" fontId="34" fillId="0" borderId="72" xfId="1" applyNumberFormat="1" applyFont="1" applyBorder="1" applyAlignment="1">
      <alignment horizontal="left"/>
    </xf>
    <xf numFmtId="0" fontId="2" fillId="0" borderId="41" xfId="0" applyFont="1" applyBorder="1" applyAlignment="1">
      <alignment horizontal="center" wrapText="1"/>
    </xf>
    <xf numFmtId="3" fontId="16" fillId="6" borderId="50" xfId="1" applyNumberFormat="1" applyFont="1" applyFill="1" applyBorder="1" applyAlignment="1">
      <alignment horizontal="center"/>
    </xf>
    <xf numFmtId="3" fontId="21" fillId="7" borderId="53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7" xfId="1" applyNumberFormat="1" applyFont="1" applyFill="1" applyBorder="1" applyAlignment="1">
      <alignment horizontal="center" vertical="center" wrapText="1"/>
    </xf>
    <xf numFmtId="49" fontId="21" fillId="7" borderId="53" xfId="1" applyNumberFormat="1" applyFont="1" applyFill="1" applyBorder="1" applyAlignment="1">
      <alignment horizontal="center" vertical="center" wrapText="1"/>
    </xf>
    <xf numFmtId="0" fontId="16" fillId="6" borderId="36" xfId="1" applyFont="1" applyFill="1" applyBorder="1" applyAlignment="1">
      <alignment horizontal="center"/>
    </xf>
    <xf numFmtId="0" fontId="16" fillId="6" borderId="61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0" fontId="57" fillId="0" borderId="74" xfId="0" applyFont="1" applyBorder="1" applyAlignment="1">
      <alignment horizontal="center" vertical="center"/>
    </xf>
    <xf numFmtId="3" fontId="60" fillId="0" borderId="0" xfId="0" applyNumberFormat="1" applyFont="1" applyBorder="1" applyAlignment="1">
      <alignment horizontal="center"/>
    </xf>
    <xf numFmtId="0" fontId="60" fillId="0" borderId="100" xfId="0" applyFont="1" applyBorder="1" applyAlignment="1">
      <alignment horizontal="center"/>
    </xf>
    <xf numFmtId="0" fontId="60" fillId="0" borderId="196" xfId="0" applyFont="1" applyBorder="1" applyAlignment="1">
      <alignment horizontal="center"/>
    </xf>
    <xf numFmtId="0" fontId="60" fillId="0" borderId="138" xfId="0" applyFont="1" applyBorder="1" applyAlignment="1">
      <alignment horizontal="center"/>
    </xf>
    <xf numFmtId="0" fontId="57" fillId="0" borderId="103" xfId="0" applyFont="1" applyBorder="1" applyAlignment="1">
      <alignment horizontal="center" vertical="center"/>
    </xf>
    <xf numFmtId="0" fontId="57" fillId="0" borderId="105" xfId="0" applyFont="1" applyBorder="1" applyAlignment="1">
      <alignment horizontal="center" vertical="center"/>
    </xf>
    <xf numFmtId="0" fontId="57" fillId="0" borderId="175" xfId="0" applyFont="1" applyBorder="1" applyAlignment="1">
      <alignment horizontal="center" vertical="center"/>
    </xf>
    <xf numFmtId="0" fontId="57" fillId="0" borderId="191" xfId="0" applyFont="1" applyBorder="1" applyAlignment="1">
      <alignment horizontal="center" vertical="center"/>
    </xf>
    <xf numFmtId="4" fontId="0" fillId="0" borderId="140" xfId="0" applyNumberFormat="1" applyBorder="1" applyAlignment="1">
      <alignment horizontal="right" vertical="center"/>
    </xf>
    <xf numFmtId="0" fontId="62" fillId="16" borderId="74" xfId="0" applyFont="1" applyFill="1" applyBorder="1" applyAlignment="1">
      <alignment horizontal="left" vertical="center" wrapText="1"/>
    </xf>
    <xf numFmtId="0" fontId="62" fillId="16" borderId="58" xfId="0" applyFont="1" applyFill="1" applyBorder="1" applyAlignment="1">
      <alignment horizontal="left" vertical="center" wrapText="1"/>
    </xf>
    <xf numFmtId="0" fontId="62" fillId="16" borderId="83" xfId="0" applyFont="1" applyFill="1" applyBorder="1" applyAlignment="1">
      <alignment horizontal="left" vertical="center" wrapText="1"/>
    </xf>
    <xf numFmtId="10" fontId="79" fillId="16" borderId="74" xfId="0" applyNumberFormat="1" applyFont="1" applyFill="1" applyBorder="1" applyAlignment="1">
      <alignment horizontal="center"/>
    </xf>
    <xf numFmtId="10" fontId="79" fillId="16" borderId="66" xfId="0" applyNumberFormat="1" applyFont="1" applyFill="1" applyBorder="1" applyAlignment="1">
      <alignment horizontal="center"/>
    </xf>
    <xf numFmtId="0" fontId="62" fillId="16" borderId="191" xfId="0" applyFont="1" applyFill="1" applyBorder="1" applyAlignment="1">
      <alignment horizontal="left"/>
    </xf>
    <xf numFmtId="0" fontId="62" fillId="16" borderId="77" xfId="0" applyFont="1" applyFill="1" applyBorder="1" applyAlignment="1">
      <alignment horizontal="left"/>
    </xf>
    <xf numFmtId="0" fontId="62" fillId="16" borderId="208" xfId="0" applyFont="1" applyFill="1" applyBorder="1" applyAlignment="1">
      <alignment horizontal="left"/>
    </xf>
    <xf numFmtId="10" fontId="79" fillId="16" borderId="191" xfId="0" applyNumberFormat="1" applyFont="1" applyFill="1" applyBorder="1" applyAlignment="1">
      <alignment horizontal="center"/>
    </xf>
    <xf numFmtId="10" fontId="79" fillId="16" borderId="192" xfId="0" applyNumberFormat="1" applyFont="1" applyFill="1" applyBorder="1" applyAlignment="1">
      <alignment horizontal="center"/>
    </xf>
    <xf numFmtId="0" fontId="0" fillId="0" borderId="74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83" xfId="0" applyFont="1" applyBorder="1" applyAlignment="1">
      <alignment horizontal="left"/>
    </xf>
    <xf numFmtId="4" fontId="0" fillId="0" borderId="207" xfId="0" applyNumberFormat="1" applyFont="1" applyBorder="1" applyAlignment="1">
      <alignment horizontal="center"/>
    </xf>
    <xf numFmtId="4" fontId="0" fillId="0" borderId="155" xfId="0" applyNumberFormat="1" applyFont="1" applyBorder="1" applyAlignment="1">
      <alignment horizontal="center"/>
    </xf>
    <xf numFmtId="0" fontId="0" fillId="0" borderId="207" xfId="0" applyFont="1" applyFill="1" applyBorder="1" applyAlignment="1">
      <alignment horizontal="left" vertical="center" wrapText="1"/>
    </xf>
    <xf numFmtId="0" fontId="0" fillId="0" borderId="193" xfId="0" applyFont="1" applyFill="1" applyBorder="1" applyAlignment="1">
      <alignment horizontal="left" vertical="center" wrapText="1"/>
    </xf>
    <xf numFmtId="0" fontId="0" fillId="0" borderId="155" xfId="0" applyFont="1" applyFill="1" applyBorder="1" applyAlignment="1">
      <alignment horizontal="left" vertical="center" wrapText="1"/>
    </xf>
    <xf numFmtId="0" fontId="0" fillId="0" borderId="103" xfId="0" applyFont="1" applyBorder="1" applyAlignment="1">
      <alignment horizontal="left"/>
    </xf>
    <xf numFmtId="0" fontId="0" fillId="0" borderId="104" xfId="0" applyFont="1" applyBorder="1" applyAlignment="1">
      <alignment horizontal="left"/>
    </xf>
    <xf numFmtId="0" fontId="0" fillId="0" borderId="204" xfId="0" applyFont="1" applyBorder="1" applyAlignment="1">
      <alignment horizontal="left"/>
    </xf>
    <xf numFmtId="0" fontId="6" fillId="0" borderId="121" xfId="0" applyFont="1" applyBorder="1" applyAlignment="1">
      <alignment vertical="center"/>
    </xf>
    <xf numFmtId="0" fontId="6" fillId="0" borderId="140" xfId="0" applyFont="1" applyBorder="1" applyAlignment="1">
      <alignment vertical="center"/>
    </xf>
    <xf numFmtId="4" fontId="77" fillId="0" borderId="0" xfId="1" applyNumberFormat="1" applyFont="1" applyBorder="1" applyAlignment="1">
      <alignment horizontal="center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6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13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4" fontId="7" fillId="0" borderId="137" xfId="0" applyNumberFormat="1" applyFont="1" applyBorder="1" applyAlignment="1">
      <alignment horizontal="center" vertical="center" wrapText="1"/>
    </xf>
    <xf numFmtId="4" fontId="7" fillId="0" borderId="135" xfId="0" applyNumberFormat="1" applyFont="1" applyBorder="1" applyAlignment="1">
      <alignment horizontal="center"/>
    </xf>
    <xf numFmtId="4" fontId="7" fillId="0" borderId="136" xfId="0" applyNumberFormat="1" applyFont="1" applyBorder="1" applyAlignment="1">
      <alignment horizontal="center"/>
    </xf>
    <xf numFmtId="0" fontId="7" fillId="0" borderId="62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21" fillId="0" borderId="199" xfId="0" applyFont="1" applyBorder="1" applyAlignment="1">
      <alignment horizontal="center" vertical="center" wrapText="1"/>
    </xf>
    <xf numFmtId="0" fontId="21" fillId="0" borderId="79" xfId="0" applyFont="1" applyBorder="1" applyAlignment="1">
      <alignment wrapText="1"/>
    </xf>
    <xf numFmtId="0" fontId="21" fillId="0" borderId="77" xfId="0" applyFont="1" applyBorder="1" applyAlignment="1">
      <alignment wrapText="1"/>
    </xf>
    <xf numFmtId="0" fontId="7" fillId="0" borderId="83" xfId="0" applyFont="1" applyBorder="1" applyAlignment="1">
      <alignment horizontal="center" wrapText="1"/>
    </xf>
    <xf numFmtId="0" fontId="7" fillId="0" borderId="133" xfId="0" applyFont="1" applyBorder="1" applyAlignment="1">
      <alignment horizontal="center" wrapText="1"/>
    </xf>
    <xf numFmtId="0" fontId="7" fillId="0" borderId="174" xfId="0" applyFont="1" applyBorder="1" applyAlignment="1">
      <alignment horizontal="center" vertical="center" wrapText="1"/>
    </xf>
    <xf numFmtId="0" fontId="7" fillId="0" borderId="175" xfId="0" applyFont="1" applyBorder="1" applyAlignment="1">
      <alignment horizontal="center" vertical="center" wrapText="1"/>
    </xf>
    <xf numFmtId="0" fontId="7" fillId="0" borderId="191" xfId="0" applyFont="1" applyBorder="1" applyAlignment="1">
      <alignment horizontal="center" vertical="center" wrapText="1"/>
    </xf>
    <xf numFmtId="0" fontId="7" fillId="0" borderId="201" xfId="0" applyFont="1" applyBorder="1" applyAlignment="1">
      <alignment horizontal="center" vertical="center" wrapText="1"/>
    </xf>
    <xf numFmtId="0" fontId="7" fillId="0" borderId="180" xfId="0" applyFont="1" applyBorder="1" applyAlignment="1">
      <alignment horizontal="center" vertical="center" wrapText="1"/>
    </xf>
    <xf numFmtId="0" fontId="7" fillId="0" borderId="192" xfId="0" applyFont="1" applyBorder="1" applyAlignment="1">
      <alignment horizontal="center" vertical="center" wrapText="1"/>
    </xf>
    <xf numFmtId="0" fontId="31" fillId="0" borderId="200" xfId="3" applyFont="1" applyFill="1" applyBorder="1" applyAlignment="1">
      <alignment horizontal="center" vertical="center"/>
    </xf>
    <xf numFmtId="0" fontId="31" fillId="0" borderId="62" xfId="3" applyFont="1" applyFill="1" applyBorder="1" applyAlignment="1">
      <alignment horizontal="center" vertical="center"/>
    </xf>
    <xf numFmtId="0" fontId="31" fillId="0" borderId="199" xfId="3" applyFont="1" applyFill="1" applyBorder="1" applyAlignment="1">
      <alignment horizontal="center" vertical="center" wrapText="1"/>
    </xf>
    <xf numFmtId="0" fontId="52" fillId="0" borderId="79" xfId="0" applyFont="1" applyFill="1" applyBorder="1" applyAlignment="1">
      <alignment horizontal="center" vertical="center" wrapText="1"/>
    </xf>
    <xf numFmtId="0" fontId="52" fillId="0" borderId="77" xfId="0" applyFont="1" applyFill="1" applyBorder="1" applyAlignment="1">
      <alignment horizontal="center" vertical="center" wrapText="1"/>
    </xf>
    <xf numFmtId="0" fontId="31" fillId="0" borderId="201" xfId="3" applyFont="1" applyFill="1" applyBorder="1" applyAlignment="1">
      <alignment horizontal="center" vertical="center" wrapText="1"/>
    </xf>
    <xf numFmtId="0" fontId="31" fillId="0" borderId="180" xfId="3" applyFont="1" applyFill="1" applyBorder="1" applyAlignment="1">
      <alignment horizontal="center" vertical="center" wrapText="1"/>
    </xf>
    <xf numFmtId="0" fontId="31" fillId="0" borderId="192" xfId="3" applyFont="1" applyFill="1" applyBorder="1" applyAlignment="1">
      <alignment horizontal="center" vertical="center" wrapText="1"/>
    </xf>
    <xf numFmtId="0" fontId="31" fillId="0" borderId="193" xfId="3" applyFont="1" applyFill="1" applyBorder="1" applyAlignment="1">
      <alignment horizontal="center" vertical="center"/>
    </xf>
    <xf numFmtId="0" fontId="31" fillId="0" borderId="65" xfId="3" applyFont="1" applyFill="1" applyBorder="1" applyAlignment="1">
      <alignment horizontal="center" vertical="center"/>
    </xf>
    <xf numFmtId="0" fontId="31" fillId="0" borderId="67" xfId="3" applyFont="1" applyFill="1" applyBorder="1" applyAlignment="1">
      <alignment horizontal="center" vertical="center"/>
    </xf>
    <xf numFmtId="0" fontId="31" fillId="0" borderId="168" xfId="3" applyFont="1" applyFill="1" applyBorder="1" applyAlignment="1">
      <alignment horizontal="center" vertical="center"/>
    </xf>
    <xf numFmtId="0" fontId="31" fillId="0" borderId="76" xfId="3" applyFont="1" applyFill="1" applyBorder="1" applyAlignment="1">
      <alignment horizontal="center" vertical="center"/>
    </xf>
    <xf numFmtId="0" fontId="31" fillId="0" borderId="83" xfId="5" applyFont="1" applyFill="1" applyBorder="1" applyAlignment="1">
      <alignment horizontal="center"/>
    </xf>
    <xf numFmtId="0" fontId="31" fillId="0" borderId="65" xfId="5" applyFont="1" applyFill="1" applyBorder="1" applyAlignment="1">
      <alignment horizontal="center"/>
    </xf>
    <xf numFmtId="2" fontId="31" fillId="0" borderId="68" xfId="5" applyNumberFormat="1" applyFont="1" applyFill="1" applyBorder="1" applyAlignment="1">
      <alignment horizontal="center" vertical="center" wrapText="1"/>
    </xf>
    <xf numFmtId="2" fontId="31" fillId="0" borderId="79" xfId="5" applyNumberFormat="1" applyFont="1" applyFill="1" applyBorder="1" applyAlignment="1">
      <alignment horizontal="center" vertical="center" wrapText="1"/>
    </xf>
    <xf numFmtId="2" fontId="31" fillId="0" borderId="77" xfId="5" applyNumberFormat="1" applyFont="1" applyFill="1" applyBorder="1" applyAlignment="1">
      <alignment horizontal="center" vertical="center" wrapText="1"/>
    </xf>
    <xf numFmtId="0" fontId="70" fillId="0" borderId="139" xfId="0" applyFont="1" applyFill="1" applyBorder="1" applyAlignment="1">
      <alignment horizontal="center" wrapText="1"/>
    </xf>
    <xf numFmtId="0" fontId="70" fillId="0" borderId="140" xfId="0" applyFont="1" applyFill="1" applyBorder="1" applyAlignment="1">
      <alignment horizontal="center" wrapText="1"/>
    </xf>
    <xf numFmtId="49" fontId="31" fillId="0" borderId="78" xfId="3" applyNumberFormat="1" applyFont="1" applyFill="1" applyBorder="1" applyAlignment="1">
      <alignment horizontal="center" textRotation="90" wrapText="1"/>
    </xf>
    <xf numFmtId="49" fontId="31" fillId="0" borderId="168" xfId="3" applyNumberFormat="1" applyFont="1" applyFill="1" applyBorder="1" applyAlignment="1">
      <alignment horizontal="center" textRotation="90" wrapText="1"/>
    </xf>
    <xf numFmtId="49" fontId="31" fillId="0" borderId="76" xfId="3" applyNumberFormat="1" applyFont="1" applyFill="1" applyBorder="1" applyAlignment="1">
      <alignment horizontal="center" textRotation="90" wrapText="1"/>
    </xf>
    <xf numFmtId="0" fontId="31" fillId="0" borderId="79" xfId="3" applyFont="1" applyFill="1" applyBorder="1" applyAlignment="1">
      <alignment horizontal="center" vertical="center" wrapText="1"/>
    </xf>
    <xf numFmtId="0" fontId="31" fillId="0" borderId="77" xfId="3" applyFont="1" applyFill="1" applyBorder="1" applyAlignment="1">
      <alignment horizontal="center" vertical="center" wrapText="1"/>
    </xf>
    <xf numFmtId="0" fontId="73" fillId="0" borderId="142" xfId="0" applyFont="1" applyFill="1" applyBorder="1" applyAlignment="1">
      <alignment horizontal="center" vertical="center" wrapText="1"/>
    </xf>
    <xf numFmtId="0" fontId="73" fillId="0" borderId="89" xfId="0" applyFont="1" applyFill="1" applyBorder="1" applyAlignment="1">
      <alignment horizontal="center" vertical="center" wrapText="1"/>
    </xf>
    <xf numFmtId="0" fontId="73" fillId="0" borderId="90" xfId="0" applyFont="1" applyFill="1" applyBorder="1" applyAlignment="1">
      <alignment horizontal="center" vertical="center" wrapText="1"/>
    </xf>
    <xf numFmtId="49" fontId="31" fillId="0" borderId="107" xfId="5" applyNumberFormat="1" applyFont="1" applyFill="1" applyBorder="1" applyAlignment="1">
      <alignment horizontal="center" vertical="center" wrapText="1"/>
    </xf>
    <xf numFmtId="49" fontId="31" fillId="0" borderId="141" xfId="5" applyNumberFormat="1" applyFont="1" applyFill="1" applyBorder="1" applyAlignment="1">
      <alignment horizontal="center" vertical="center" wrapText="1"/>
    </xf>
    <xf numFmtId="49" fontId="31" fillId="0" borderId="202" xfId="5" applyNumberFormat="1" applyFont="1" applyFill="1" applyBorder="1" applyAlignment="1">
      <alignment horizontal="center" vertical="center" wrapText="1"/>
    </xf>
    <xf numFmtId="49" fontId="31" fillId="0" borderId="0" xfId="5" applyNumberFormat="1" applyFont="1" applyFill="1" applyBorder="1" applyAlignment="1">
      <alignment horizontal="center" vertical="center" wrapText="1"/>
    </xf>
    <xf numFmtId="49" fontId="31" fillId="0" borderId="203" xfId="5" applyNumberFormat="1" applyFont="1" applyFill="1" applyBorder="1" applyAlignment="1">
      <alignment horizontal="center" vertical="center" wrapText="1"/>
    </xf>
    <xf numFmtId="49" fontId="31" fillId="0" borderId="179" xfId="5" applyNumberFormat="1" applyFont="1" applyFill="1" applyBorder="1" applyAlignment="1">
      <alignment horizontal="center" vertical="center" wrapText="1"/>
    </xf>
    <xf numFmtId="0" fontId="31" fillId="0" borderId="193" xfId="5" applyFont="1" applyFill="1" applyBorder="1" applyAlignment="1">
      <alignment horizontal="center"/>
    </xf>
    <xf numFmtId="0" fontId="31" fillId="0" borderId="73" xfId="5" applyFont="1" applyFill="1" applyBorder="1" applyAlignment="1">
      <alignment horizontal="center" vertical="center" wrapText="1"/>
    </xf>
    <xf numFmtId="0" fontId="31" fillId="0" borderId="74" xfId="5" applyFont="1" applyFill="1" applyBorder="1" applyAlignment="1">
      <alignment horizontal="center" vertical="center" wrapText="1"/>
    </xf>
    <xf numFmtId="0" fontId="31" fillId="0" borderId="75" xfId="5" applyFont="1" applyFill="1" applyBorder="1" applyAlignment="1">
      <alignment horizontal="center" vertical="center" wrapText="1"/>
    </xf>
    <xf numFmtId="0" fontId="73" fillId="0" borderId="63" xfId="0" applyFont="1" applyFill="1" applyBorder="1" applyAlignment="1">
      <alignment horizontal="center" vertical="center" wrapText="1"/>
    </xf>
    <xf numFmtId="0" fontId="73" fillId="0" borderId="58" xfId="0" applyFont="1" applyFill="1" applyBorder="1" applyAlignment="1">
      <alignment horizontal="center" vertical="center" wrapText="1"/>
    </xf>
    <xf numFmtId="0" fontId="73" fillId="0" borderId="71" xfId="0" applyFont="1" applyFill="1" applyBorder="1" applyAlignment="1">
      <alignment horizontal="center" vertical="center" wrapText="1"/>
    </xf>
    <xf numFmtId="0" fontId="31" fillId="0" borderId="64" xfId="5" applyFont="1" applyFill="1" applyBorder="1" applyAlignment="1">
      <alignment horizontal="center" vertical="center" wrapText="1"/>
    </xf>
    <xf numFmtId="0" fontId="31" fillId="0" borderId="66" xfId="5" applyFont="1" applyFill="1" applyBorder="1" applyAlignment="1">
      <alignment horizontal="center" vertical="center" wrapText="1"/>
    </xf>
    <xf numFmtId="0" fontId="31" fillId="0" borderId="72" xfId="5" applyFont="1" applyFill="1" applyBorder="1" applyAlignment="1">
      <alignment horizontal="center" vertical="center" wrapText="1"/>
    </xf>
    <xf numFmtId="49" fontId="31" fillId="0" borderId="83" xfId="5" applyNumberFormat="1" applyFont="1" applyFill="1" applyBorder="1" applyAlignment="1">
      <alignment horizontal="center" vertical="center" wrapText="1"/>
    </xf>
    <xf numFmtId="49" fontId="31" fillId="0" borderId="193" xfId="5" applyNumberFormat="1" applyFont="1" applyFill="1" applyBorder="1" applyAlignment="1">
      <alignment horizontal="center" vertical="center" wrapText="1"/>
    </xf>
    <xf numFmtId="0" fontId="7" fillId="0" borderId="58" xfId="5" applyFont="1" applyFill="1" applyBorder="1" applyAlignment="1">
      <alignment horizontal="center" vertical="center" wrapText="1"/>
    </xf>
    <xf numFmtId="0" fontId="7" fillId="0" borderId="68" xfId="5" applyFont="1" applyFill="1" applyBorder="1" applyAlignment="1">
      <alignment horizontal="center" vertical="center" wrapText="1"/>
    </xf>
    <xf numFmtId="0" fontId="31" fillId="0" borderId="68" xfId="5" applyFont="1" applyFill="1" applyBorder="1" applyAlignment="1">
      <alignment horizontal="center" vertical="center" wrapText="1"/>
    </xf>
    <xf numFmtId="0" fontId="31" fillId="0" borderId="79" xfId="5" applyFont="1" applyFill="1" applyBorder="1" applyAlignment="1">
      <alignment horizontal="center" vertical="center" wrapText="1"/>
    </xf>
    <xf numFmtId="0" fontId="31" fillId="0" borderId="77" xfId="5" applyFont="1" applyFill="1" applyBorder="1" applyAlignment="1">
      <alignment horizontal="center" vertical="center" wrapText="1"/>
    </xf>
    <xf numFmtId="0" fontId="65" fillId="0" borderId="68" xfId="5" applyFont="1" applyFill="1" applyBorder="1" applyAlignment="1">
      <alignment horizontal="center" vertical="center"/>
    </xf>
    <xf numFmtId="0" fontId="65" fillId="0" borderId="77" xfId="5" applyFont="1" applyFill="1" applyBorder="1" applyAlignment="1">
      <alignment horizontal="center" vertical="center"/>
    </xf>
    <xf numFmtId="0" fontId="65" fillId="0" borderId="68" xfId="5" applyFont="1" applyFill="1" applyBorder="1" applyAlignment="1">
      <alignment horizontal="center" vertical="center" wrapText="1"/>
    </xf>
    <xf numFmtId="0" fontId="65" fillId="0" borderId="77" xfId="5" applyFont="1" applyFill="1" applyBorder="1" applyAlignment="1">
      <alignment horizontal="center" vertical="center" wrapText="1"/>
    </xf>
    <xf numFmtId="0" fontId="56" fillId="0" borderId="107" xfId="0" applyFont="1" applyFill="1" applyBorder="1" applyAlignment="1">
      <alignment horizontal="center"/>
    </xf>
    <xf numFmtId="0" fontId="56" fillId="0" borderId="141" xfId="0" applyFont="1" applyFill="1" applyBorder="1" applyAlignment="1">
      <alignment horizontal="center"/>
    </xf>
    <xf numFmtId="0" fontId="56" fillId="0" borderId="98" xfId="0" applyFont="1" applyFill="1" applyBorder="1" applyAlignment="1">
      <alignment horizontal="center"/>
    </xf>
    <xf numFmtId="0" fontId="56" fillId="0" borderId="108" xfId="0" applyFont="1" applyFill="1" applyBorder="1" applyAlignment="1">
      <alignment horizontal="center"/>
    </xf>
    <xf numFmtId="0" fontId="56" fillId="0" borderId="139" xfId="0" applyFont="1" applyFill="1" applyBorder="1" applyAlignment="1">
      <alignment horizontal="center"/>
    </xf>
    <xf numFmtId="0" fontId="56" fillId="0" borderId="93" xfId="0" applyFont="1" applyFill="1" applyBorder="1" applyAlignment="1">
      <alignment horizontal="center"/>
    </xf>
    <xf numFmtId="3" fontId="60" fillId="0" borderId="121" xfId="0" applyNumberFormat="1" applyFont="1" applyFill="1" applyBorder="1" applyAlignment="1">
      <alignment horizontal="center"/>
    </xf>
    <xf numFmtId="3" fontId="60" fillId="0" borderId="92" xfId="0" applyNumberFormat="1" applyFont="1" applyFill="1" applyBorder="1" applyAlignment="1">
      <alignment horizontal="center"/>
    </xf>
    <xf numFmtId="3" fontId="45" fillId="17" borderId="121" xfId="3" applyNumberFormat="1" applyFont="1" applyFill="1" applyBorder="1" applyAlignment="1">
      <alignment horizontal="center" wrapText="1"/>
    </xf>
    <xf numFmtId="3" fontId="45" fillId="17" borderId="92" xfId="3" applyNumberFormat="1" applyFont="1" applyFill="1" applyBorder="1" applyAlignment="1">
      <alignment horizontal="center" wrapText="1"/>
    </xf>
    <xf numFmtId="3" fontId="42" fillId="18" borderId="121" xfId="0" applyNumberFormat="1" applyFont="1" applyFill="1" applyBorder="1" applyAlignment="1">
      <alignment horizontal="center"/>
    </xf>
    <xf numFmtId="3" fontId="42" fillId="18" borderId="140" xfId="0" applyNumberFormat="1" applyFont="1" applyFill="1" applyBorder="1" applyAlignment="1">
      <alignment horizontal="center"/>
    </xf>
    <xf numFmtId="3" fontId="42" fillId="18" borderId="92" xfId="0" applyNumberFormat="1" applyFont="1" applyFill="1" applyBorder="1" applyAlignment="1">
      <alignment horizontal="center"/>
    </xf>
    <xf numFmtId="3" fontId="67" fillId="0" borderId="205" xfId="0" applyNumberFormat="1" applyFont="1" applyFill="1" applyBorder="1" applyAlignment="1">
      <alignment horizontal="center"/>
    </xf>
    <xf numFmtId="3" fontId="67" fillId="0" borderId="206" xfId="0" applyNumberFormat="1" applyFont="1" applyFill="1" applyBorder="1" applyAlignment="1">
      <alignment horizontal="center"/>
    </xf>
    <xf numFmtId="3" fontId="67" fillId="0" borderId="156" xfId="0" applyNumberFormat="1" applyFont="1" applyFill="1" applyBorder="1" applyAlignment="1">
      <alignment horizontal="center"/>
    </xf>
    <xf numFmtId="0" fontId="31" fillId="0" borderId="98" xfId="5" applyFont="1" applyFill="1" applyBorder="1" applyAlignment="1">
      <alignment horizontal="center" vertical="center" wrapText="1"/>
    </xf>
    <xf numFmtId="0" fontId="31" fillId="0" borderId="96" xfId="5" applyFont="1" applyFill="1" applyBorder="1" applyAlignment="1">
      <alignment horizontal="center" vertical="center" wrapText="1"/>
    </xf>
    <xf numFmtId="0" fontId="31" fillId="0" borderId="93" xfId="5" applyFont="1" applyFill="1" applyBorder="1" applyAlignment="1">
      <alignment horizontal="center" vertical="center" wrapText="1"/>
    </xf>
    <xf numFmtId="0" fontId="7" fillId="0" borderId="79" xfId="5" applyFont="1" applyFill="1" applyBorder="1" applyAlignment="1">
      <alignment horizontal="center" vertical="center" wrapText="1"/>
    </xf>
    <xf numFmtId="0" fontId="7" fillId="0" borderId="77" xfId="5" applyFont="1" applyFill="1" applyBorder="1" applyAlignment="1">
      <alignment horizontal="center" vertical="center" wrapText="1"/>
    </xf>
    <xf numFmtId="0" fontId="31" fillId="0" borderId="68" xfId="3" applyFont="1" applyFill="1" applyBorder="1" applyAlignment="1">
      <alignment horizontal="center" vertical="center"/>
    </xf>
    <xf numFmtId="0" fontId="31" fillId="0" borderId="79" xfId="3" applyFont="1" applyFill="1" applyBorder="1" applyAlignment="1">
      <alignment horizontal="center" vertical="center"/>
    </xf>
    <xf numFmtId="0" fontId="31" fillId="0" borderId="77" xfId="3" applyFont="1" applyFill="1" applyBorder="1" applyAlignment="1">
      <alignment horizontal="center" vertical="center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6/Mesa&#269;n&#233;%20plnenie%202016/December%20%202016/tabu&#318;ky%20%20podrobn&#233;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8/Mesa&#269;n&#233;%20plnenie%202018/December%202018/tabu&#318;ky%20%20podrobn&#233;%20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vacikova\AppData\Roaming\Microsoft\Excel\tabu&#318;ky%20%20podrobn&#233;%20%202014%20zn&#237;&#382;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T5">
            <v>58582.110000000008</v>
          </cell>
          <cell r="U5">
            <v>0</v>
          </cell>
          <cell r="V5">
            <v>0</v>
          </cell>
        </row>
        <row r="16">
          <cell r="T16">
            <v>31562.02</v>
          </cell>
          <cell r="U16">
            <v>0</v>
          </cell>
          <cell r="V16">
            <v>0</v>
          </cell>
        </row>
        <row r="27">
          <cell r="T27">
            <v>50161.270000000004</v>
          </cell>
          <cell r="U27">
            <v>0</v>
          </cell>
          <cell r="V27">
            <v>0</v>
          </cell>
        </row>
        <row r="32">
          <cell r="T32">
            <v>2979.8</v>
          </cell>
          <cell r="U32">
            <v>0</v>
          </cell>
          <cell r="V32">
            <v>0</v>
          </cell>
        </row>
        <row r="39">
          <cell r="T39">
            <v>28184.91</v>
          </cell>
          <cell r="U39">
            <v>0</v>
          </cell>
          <cell r="V39">
            <v>0</v>
          </cell>
        </row>
        <row r="52">
          <cell r="T52">
            <v>10092</v>
          </cell>
          <cell r="U52">
            <v>0</v>
          </cell>
          <cell r="V52">
            <v>0</v>
          </cell>
        </row>
        <row r="55">
          <cell r="T55">
            <v>1167.29</v>
          </cell>
          <cell r="U55">
            <v>101192.33</v>
          </cell>
          <cell r="V55">
            <v>0</v>
          </cell>
        </row>
        <row r="67">
          <cell r="T67">
            <v>49891.97</v>
          </cell>
          <cell r="U67">
            <v>0</v>
          </cell>
          <cell r="V67">
            <v>0</v>
          </cell>
        </row>
        <row r="74">
          <cell r="T74">
            <v>3900</v>
          </cell>
          <cell r="U74">
            <v>0</v>
          </cell>
          <cell r="V74">
            <v>0</v>
          </cell>
        </row>
        <row r="78">
          <cell r="T78">
            <v>4920.3900000000003</v>
          </cell>
          <cell r="U78">
            <v>0</v>
          </cell>
          <cell r="V78">
            <v>0</v>
          </cell>
        </row>
        <row r="81">
          <cell r="T81">
            <v>0</v>
          </cell>
          <cell r="U81">
            <v>0</v>
          </cell>
          <cell r="V81">
            <v>0</v>
          </cell>
        </row>
      </sheetData>
      <sheetData sheetId="1">
        <row r="5">
          <cell r="T5">
            <v>99.07</v>
          </cell>
          <cell r="U5">
            <v>0</v>
          </cell>
          <cell r="V5">
            <v>0</v>
          </cell>
        </row>
        <row r="7">
          <cell r="T7">
            <v>3913</v>
          </cell>
          <cell r="U7">
            <v>0</v>
          </cell>
          <cell r="V7">
            <v>0</v>
          </cell>
        </row>
        <row r="11">
          <cell r="T11">
            <v>14831.48</v>
          </cell>
          <cell r="U11">
            <v>0</v>
          </cell>
          <cell r="V11">
            <v>0</v>
          </cell>
        </row>
        <row r="20">
          <cell r="T20">
            <v>0</v>
          </cell>
          <cell r="U20">
            <v>0</v>
          </cell>
          <cell r="V20">
            <v>0</v>
          </cell>
        </row>
        <row r="22">
          <cell r="T22">
            <v>0</v>
          </cell>
          <cell r="U22">
            <v>0</v>
          </cell>
          <cell r="V22">
            <v>0</v>
          </cell>
        </row>
        <row r="25">
          <cell r="T25">
            <v>0</v>
          </cell>
          <cell r="U25">
            <v>0</v>
          </cell>
          <cell r="V25">
            <v>0</v>
          </cell>
        </row>
        <row r="27">
          <cell r="T27">
            <v>1615</v>
          </cell>
          <cell r="U27">
            <v>0</v>
          </cell>
          <cell r="V27">
            <v>0</v>
          </cell>
        </row>
        <row r="29">
          <cell r="T29">
            <v>3000</v>
          </cell>
          <cell r="U29">
            <v>0</v>
          </cell>
          <cell r="V29">
            <v>0</v>
          </cell>
        </row>
        <row r="33">
          <cell r="T33">
            <v>7975.25</v>
          </cell>
          <cell r="U33">
            <v>0</v>
          </cell>
          <cell r="V33">
            <v>0</v>
          </cell>
        </row>
        <row r="49">
          <cell r="T49">
            <v>1846</v>
          </cell>
          <cell r="U49">
            <v>0</v>
          </cell>
          <cell r="V49">
            <v>0</v>
          </cell>
        </row>
        <row r="54">
          <cell r="T54">
            <v>4112.21</v>
          </cell>
          <cell r="U54">
            <v>0</v>
          </cell>
          <cell r="V54">
            <v>0</v>
          </cell>
        </row>
      </sheetData>
      <sheetData sheetId="2">
        <row r="4">
          <cell r="T4">
            <v>46734.2</v>
          </cell>
          <cell r="U4">
            <v>0</v>
          </cell>
          <cell r="V4">
            <v>0</v>
          </cell>
        </row>
        <row r="17">
          <cell r="T17">
            <v>4661.9699999999993</v>
          </cell>
          <cell r="U17">
            <v>0</v>
          </cell>
          <cell r="V17">
            <v>0</v>
          </cell>
        </row>
        <row r="19">
          <cell r="Q19">
            <v>5000</v>
          </cell>
        </row>
        <row r="23">
          <cell r="T23">
            <v>962.66000000000008</v>
          </cell>
          <cell r="U23">
            <v>0</v>
          </cell>
          <cell r="V23">
            <v>0</v>
          </cell>
        </row>
        <row r="28">
          <cell r="T28">
            <v>1242.18</v>
          </cell>
          <cell r="U28">
            <v>0</v>
          </cell>
          <cell r="V28">
            <v>0</v>
          </cell>
        </row>
        <row r="31">
          <cell r="T31">
            <v>175625.53999999995</v>
          </cell>
          <cell r="U31">
            <v>31478.22</v>
          </cell>
          <cell r="V31">
            <v>0</v>
          </cell>
        </row>
        <row r="76">
          <cell r="T76">
            <v>10582</v>
          </cell>
          <cell r="U76">
            <v>0</v>
          </cell>
          <cell r="V76">
            <v>0</v>
          </cell>
        </row>
        <row r="79">
          <cell r="T79">
            <v>6497.48</v>
          </cell>
          <cell r="U79">
            <v>0</v>
          </cell>
          <cell r="V79">
            <v>0</v>
          </cell>
        </row>
        <row r="85">
          <cell r="T85">
            <v>0</v>
          </cell>
          <cell r="U85">
            <v>0</v>
          </cell>
          <cell r="V85">
            <v>0</v>
          </cell>
        </row>
      </sheetData>
      <sheetData sheetId="3">
        <row r="4">
          <cell r="T4">
            <v>20510.77</v>
          </cell>
          <cell r="U4">
            <v>0</v>
          </cell>
          <cell r="V4">
            <v>0</v>
          </cell>
        </row>
        <row r="17">
          <cell r="T17">
            <v>19661.259999999998</v>
          </cell>
          <cell r="U17">
            <v>0</v>
          </cell>
          <cell r="V17">
            <v>0</v>
          </cell>
        </row>
        <row r="27">
          <cell r="T27">
            <v>0</v>
          </cell>
          <cell r="U27">
            <v>0</v>
          </cell>
          <cell r="V27">
            <v>0</v>
          </cell>
        </row>
        <row r="29">
          <cell r="T29">
            <v>0</v>
          </cell>
          <cell r="U29"/>
          <cell r="V29"/>
        </row>
      </sheetData>
      <sheetData sheetId="4">
        <row r="5">
          <cell r="T5">
            <v>404805.35999999987</v>
          </cell>
          <cell r="U5">
            <v>4125</v>
          </cell>
          <cell r="V5">
            <v>13621.88</v>
          </cell>
        </row>
        <row r="52">
          <cell r="T52">
            <v>78615.479999999981</v>
          </cell>
          <cell r="U52">
            <v>0</v>
          </cell>
          <cell r="V52">
            <v>0</v>
          </cell>
        </row>
        <row r="72">
          <cell r="T72">
            <v>41127.019999999997</v>
          </cell>
          <cell r="U72">
            <v>0</v>
          </cell>
          <cell r="V72">
            <v>0</v>
          </cell>
        </row>
        <row r="75">
          <cell r="T75">
            <v>45476.86</v>
          </cell>
          <cell r="U75"/>
          <cell r="V75">
            <v>0</v>
          </cell>
        </row>
        <row r="82">
          <cell r="T82">
            <v>0</v>
          </cell>
          <cell r="U82">
            <v>0</v>
          </cell>
          <cell r="V82">
            <v>0</v>
          </cell>
        </row>
        <row r="84">
          <cell r="T84">
            <v>3572.69</v>
          </cell>
          <cell r="U84">
            <v>0</v>
          </cell>
          <cell r="V84">
            <v>0</v>
          </cell>
        </row>
        <row r="99">
          <cell r="T99">
            <v>2537.34</v>
          </cell>
          <cell r="U99">
            <v>0</v>
          </cell>
          <cell r="V99">
            <v>584938.76</v>
          </cell>
        </row>
        <row r="106">
          <cell r="T106">
            <v>99936.01</v>
          </cell>
          <cell r="U106">
            <v>0</v>
          </cell>
          <cell r="V106">
            <v>0</v>
          </cell>
        </row>
        <row r="109">
          <cell r="T109">
            <v>111089.88</v>
          </cell>
          <cell r="U109">
            <v>0</v>
          </cell>
          <cell r="V109">
            <v>0</v>
          </cell>
        </row>
        <row r="112">
          <cell r="T112">
            <v>0</v>
          </cell>
          <cell r="U112">
            <v>0</v>
          </cell>
          <cell r="V112">
            <v>0</v>
          </cell>
        </row>
        <row r="116">
          <cell r="T116">
            <v>0</v>
          </cell>
          <cell r="U116">
            <v>0</v>
          </cell>
          <cell r="V116">
            <v>0</v>
          </cell>
        </row>
        <row r="118">
          <cell r="T118">
            <v>6600</v>
          </cell>
          <cell r="U118">
            <v>0</v>
          </cell>
          <cell r="V118">
            <v>0</v>
          </cell>
        </row>
      </sheetData>
      <sheetData sheetId="5">
        <row r="5">
          <cell r="T5">
            <v>1532.03</v>
          </cell>
          <cell r="U5">
            <v>0</v>
          </cell>
          <cell r="V5">
            <v>0</v>
          </cell>
        </row>
        <row r="10">
          <cell r="T10">
            <v>516448.24</v>
          </cell>
          <cell r="U10">
            <v>3000</v>
          </cell>
          <cell r="V10">
            <v>0</v>
          </cell>
        </row>
        <row r="21">
          <cell r="T21">
            <v>89620.93</v>
          </cell>
          <cell r="U21">
            <v>0</v>
          </cell>
          <cell r="V21">
            <v>0</v>
          </cell>
        </row>
        <row r="24">
          <cell r="T24">
            <v>15599.85</v>
          </cell>
          <cell r="U24">
            <v>0</v>
          </cell>
          <cell r="V24">
            <v>0</v>
          </cell>
        </row>
        <row r="26">
          <cell r="T26">
            <v>109070.68000000001</v>
          </cell>
          <cell r="U26">
            <v>0</v>
          </cell>
          <cell r="V26">
            <v>0</v>
          </cell>
        </row>
      </sheetData>
      <sheetData sheetId="6">
        <row r="5">
          <cell r="T5">
            <v>0</v>
          </cell>
          <cell r="U5">
            <v>0</v>
          </cell>
          <cell r="V5">
            <v>0</v>
          </cell>
        </row>
        <row r="7">
          <cell r="T7">
            <v>0</v>
          </cell>
          <cell r="U7">
            <v>227053.23</v>
          </cell>
          <cell r="V7">
            <v>0</v>
          </cell>
        </row>
        <row r="15">
          <cell r="T15">
            <v>78674.399999999994</v>
          </cell>
          <cell r="U15">
            <v>0</v>
          </cell>
          <cell r="V15">
            <v>0</v>
          </cell>
        </row>
        <row r="17">
          <cell r="T17">
            <v>279045.67</v>
          </cell>
          <cell r="U17">
            <v>0</v>
          </cell>
          <cell r="V17">
            <v>0</v>
          </cell>
        </row>
        <row r="19">
          <cell r="T19">
            <v>65500.44</v>
          </cell>
          <cell r="U19">
            <v>0</v>
          </cell>
          <cell r="V19">
            <v>0</v>
          </cell>
        </row>
        <row r="25">
          <cell r="T25">
            <v>43349.55</v>
          </cell>
          <cell r="U25">
            <v>0</v>
          </cell>
          <cell r="V25">
            <v>0</v>
          </cell>
        </row>
        <row r="27">
          <cell r="T27">
            <v>29843.85</v>
          </cell>
          <cell r="U27">
            <v>0</v>
          </cell>
          <cell r="V27">
            <v>0</v>
          </cell>
        </row>
        <row r="30">
          <cell r="T30">
            <v>0</v>
          </cell>
          <cell r="U30">
            <v>0</v>
          </cell>
          <cell r="V30">
            <v>0</v>
          </cell>
        </row>
        <row r="32">
          <cell r="T32">
            <v>50090</v>
          </cell>
          <cell r="U32">
            <v>30000</v>
          </cell>
          <cell r="V32">
            <v>0</v>
          </cell>
        </row>
        <row r="35">
          <cell r="T35">
            <v>0</v>
          </cell>
          <cell r="U35">
            <v>12900</v>
          </cell>
          <cell r="V35">
            <v>0</v>
          </cell>
        </row>
        <row r="38">
          <cell r="T38"/>
          <cell r="U38"/>
          <cell r="V38"/>
        </row>
      </sheetData>
      <sheetData sheetId="7">
        <row r="4">
          <cell r="T4">
            <v>73500</v>
          </cell>
          <cell r="U4">
            <v>0</v>
          </cell>
          <cell r="V4">
            <v>0</v>
          </cell>
        </row>
        <row r="7">
          <cell r="T7">
            <v>10437.6</v>
          </cell>
          <cell r="U7">
            <v>0</v>
          </cell>
          <cell r="V7">
            <v>0</v>
          </cell>
        </row>
      </sheetData>
      <sheetData sheetId="8">
        <row r="4">
          <cell r="T4">
            <v>4658.8999999999996</v>
          </cell>
          <cell r="U4">
            <v>0</v>
          </cell>
          <cell r="V4">
            <v>0</v>
          </cell>
        </row>
        <row r="9">
          <cell r="Q9">
            <v>1431</v>
          </cell>
        </row>
        <row r="18">
          <cell r="Q18">
            <v>1479615</v>
          </cell>
        </row>
        <row r="19">
          <cell r="Q19">
            <v>147030</v>
          </cell>
          <cell r="T19">
            <v>147030</v>
          </cell>
          <cell r="U19">
            <v>16378</v>
          </cell>
          <cell r="V19"/>
        </row>
        <row r="20">
          <cell r="T20">
            <v>302177</v>
          </cell>
          <cell r="U20">
            <v>2400</v>
          </cell>
          <cell r="V20"/>
        </row>
        <row r="21">
          <cell r="T21">
            <v>340198</v>
          </cell>
          <cell r="U21">
            <v>0</v>
          </cell>
          <cell r="V21">
            <v>0</v>
          </cell>
        </row>
        <row r="22">
          <cell r="Q22">
            <v>84028</v>
          </cell>
          <cell r="T22">
            <v>83881.45</v>
          </cell>
          <cell r="U22">
            <v>0</v>
          </cell>
          <cell r="V22"/>
        </row>
        <row r="23">
          <cell r="T23">
            <v>197494</v>
          </cell>
          <cell r="U23">
            <v>2100</v>
          </cell>
          <cell r="V23"/>
        </row>
        <row r="24">
          <cell r="T24">
            <v>189654</v>
          </cell>
          <cell r="U24">
            <v>0</v>
          </cell>
          <cell r="V24">
            <v>0</v>
          </cell>
        </row>
        <row r="25">
          <cell r="Q25">
            <v>185514</v>
          </cell>
          <cell r="T25">
            <v>185514</v>
          </cell>
          <cell r="U25"/>
          <cell r="V25"/>
        </row>
        <row r="26">
          <cell r="Q26">
            <v>33520</v>
          </cell>
          <cell r="T26">
            <v>33520</v>
          </cell>
          <cell r="U26"/>
          <cell r="V26"/>
        </row>
        <row r="27">
          <cell r="Q27">
            <v>3786847</v>
          </cell>
        </row>
        <row r="28">
          <cell r="T28">
            <v>297308.90000000002</v>
          </cell>
          <cell r="U28"/>
          <cell r="V28"/>
        </row>
        <row r="31">
          <cell r="T31">
            <v>627868</v>
          </cell>
          <cell r="U31">
            <v>249018.19</v>
          </cell>
          <cell r="V31"/>
        </row>
        <row r="35">
          <cell r="T35">
            <v>1055759</v>
          </cell>
          <cell r="U35">
            <v>6876</v>
          </cell>
          <cell r="V35">
            <v>0</v>
          </cell>
        </row>
        <row r="36">
          <cell r="Q36"/>
        </row>
        <row r="37">
          <cell r="Q37">
            <v>1055759</v>
          </cell>
        </row>
        <row r="38">
          <cell r="Q38"/>
          <cell r="R38"/>
        </row>
        <row r="40">
          <cell r="T40">
            <v>706036.7</v>
          </cell>
          <cell r="U40">
            <v>0</v>
          </cell>
          <cell r="V40">
            <v>0</v>
          </cell>
        </row>
        <row r="43">
          <cell r="T43">
            <v>696578.4</v>
          </cell>
          <cell r="U43">
            <v>80347.820000000007</v>
          </cell>
          <cell r="V43">
            <v>0</v>
          </cell>
        </row>
        <row r="46">
          <cell r="Q46">
            <v>403289</v>
          </cell>
          <cell r="T46">
            <v>403289</v>
          </cell>
          <cell r="U46">
            <v>70399.210000000006</v>
          </cell>
          <cell r="V46">
            <v>0</v>
          </cell>
        </row>
        <row r="50">
          <cell r="T50">
            <v>383803</v>
          </cell>
          <cell r="U50">
            <v>56850.42</v>
          </cell>
          <cell r="V50"/>
        </row>
        <row r="51">
          <cell r="T51">
            <v>164556</v>
          </cell>
          <cell r="U51"/>
          <cell r="V51"/>
        </row>
        <row r="52">
          <cell r="T52">
            <v>242934.6</v>
          </cell>
          <cell r="U52">
            <v>0</v>
          </cell>
          <cell r="V52">
            <v>0</v>
          </cell>
        </row>
        <row r="69">
          <cell r="T69">
            <v>348827.22</v>
          </cell>
          <cell r="U69">
            <v>5469.92</v>
          </cell>
          <cell r="V69"/>
        </row>
        <row r="70">
          <cell r="T70">
            <v>64.72</v>
          </cell>
          <cell r="U70">
            <v>8160</v>
          </cell>
          <cell r="V70">
            <v>0</v>
          </cell>
        </row>
      </sheetData>
      <sheetData sheetId="9">
        <row r="4">
          <cell r="T4">
            <v>12056</v>
          </cell>
          <cell r="U4">
            <v>0</v>
          </cell>
          <cell r="V4">
            <v>0</v>
          </cell>
        </row>
        <row r="10">
          <cell r="T10">
            <v>40655.54</v>
          </cell>
          <cell r="U10">
            <v>0</v>
          </cell>
          <cell r="V10">
            <v>0</v>
          </cell>
        </row>
        <row r="27">
          <cell r="T27">
            <v>45579.76</v>
          </cell>
          <cell r="U27">
            <v>54530</v>
          </cell>
          <cell r="V27">
            <v>0</v>
          </cell>
        </row>
        <row r="38">
          <cell r="Q38">
            <v>16800</v>
          </cell>
          <cell r="T38">
            <v>15938.67</v>
          </cell>
          <cell r="U38">
            <v>0</v>
          </cell>
          <cell r="V38">
            <v>0</v>
          </cell>
        </row>
        <row r="46">
          <cell r="T46">
            <v>104386.53</v>
          </cell>
          <cell r="U46">
            <v>0</v>
          </cell>
          <cell r="V46">
            <v>0</v>
          </cell>
        </row>
        <row r="56">
          <cell r="Q56">
            <v>12000</v>
          </cell>
        </row>
        <row r="60">
          <cell r="T60">
            <v>3188.62</v>
          </cell>
          <cell r="U60">
            <v>0</v>
          </cell>
          <cell r="V60">
            <v>0</v>
          </cell>
        </row>
        <row r="67">
          <cell r="T67">
            <v>873.85</v>
          </cell>
          <cell r="U67">
            <v>0</v>
          </cell>
          <cell r="V67">
            <v>0</v>
          </cell>
        </row>
        <row r="72">
          <cell r="T72">
            <v>88250</v>
          </cell>
          <cell r="U72">
            <v>0</v>
          </cell>
          <cell r="V72">
            <v>0</v>
          </cell>
        </row>
      </sheetData>
      <sheetData sheetId="10">
        <row r="4">
          <cell r="T4">
            <v>8325.2000000000007</v>
          </cell>
          <cell r="U4">
            <v>0</v>
          </cell>
          <cell r="V4">
            <v>0</v>
          </cell>
        </row>
        <row r="16">
          <cell r="T16">
            <v>128921.63</v>
          </cell>
          <cell r="U16">
            <v>0</v>
          </cell>
          <cell r="V16">
            <v>0</v>
          </cell>
        </row>
        <row r="23">
          <cell r="T23">
            <v>517.18999999999994</v>
          </cell>
          <cell r="U23">
            <v>0</v>
          </cell>
          <cell r="V23">
            <v>0</v>
          </cell>
        </row>
        <row r="33">
          <cell r="T33">
            <v>495848.37999999989</v>
          </cell>
          <cell r="U33">
            <v>19969.2</v>
          </cell>
          <cell r="V33">
            <v>0</v>
          </cell>
        </row>
        <row r="105">
          <cell r="T105">
            <v>18551.509999999998</v>
          </cell>
          <cell r="U105">
            <v>0</v>
          </cell>
          <cell r="V105">
            <v>0</v>
          </cell>
        </row>
        <row r="118">
          <cell r="T118">
            <v>5957</v>
          </cell>
          <cell r="U118">
            <v>0</v>
          </cell>
          <cell r="V118">
            <v>0</v>
          </cell>
        </row>
        <row r="121">
          <cell r="T121">
            <v>5000</v>
          </cell>
          <cell r="U121">
            <v>0</v>
          </cell>
          <cell r="V121">
            <v>0</v>
          </cell>
        </row>
      </sheetData>
      <sheetData sheetId="11">
        <row r="5">
          <cell r="T5">
            <v>119851.41</v>
          </cell>
          <cell r="U5">
            <v>0</v>
          </cell>
          <cell r="V5">
            <v>0</v>
          </cell>
        </row>
        <row r="18">
          <cell r="T18">
            <v>1000</v>
          </cell>
          <cell r="U18">
            <v>0</v>
          </cell>
          <cell r="V18">
            <v>0</v>
          </cell>
        </row>
        <row r="20">
          <cell r="T20">
            <v>714.81</v>
          </cell>
          <cell r="U20">
            <v>0</v>
          </cell>
          <cell r="V20">
            <v>0</v>
          </cell>
        </row>
        <row r="35">
          <cell r="T35">
            <v>320.39999999999998</v>
          </cell>
          <cell r="U35">
            <v>0</v>
          </cell>
          <cell r="V35">
            <v>0</v>
          </cell>
        </row>
        <row r="39">
          <cell r="T39">
            <v>3419.1</v>
          </cell>
          <cell r="U39">
            <v>0</v>
          </cell>
          <cell r="V39">
            <v>0</v>
          </cell>
        </row>
        <row r="42">
          <cell r="T42">
            <v>14044.150000000001</v>
          </cell>
          <cell r="U42">
            <v>105069.28</v>
          </cell>
          <cell r="V42">
            <v>0</v>
          </cell>
        </row>
        <row r="53">
          <cell r="T53">
            <v>609.27</v>
          </cell>
          <cell r="U53">
            <v>0</v>
          </cell>
          <cell r="V53">
            <v>0</v>
          </cell>
        </row>
        <row r="55">
          <cell r="T55">
            <v>23097.64</v>
          </cell>
          <cell r="U55">
            <v>0</v>
          </cell>
          <cell r="V55">
            <v>0</v>
          </cell>
        </row>
        <row r="59">
          <cell r="T59">
            <v>11543.819999999998</v>
          </cell>
          <cell r="U59">
            <v>23055.73</v>
          </cell>
          <cell r="V59">
            <v>0</v>
          </cell>
        </row>
        <row r="79">
          <cell r="T79">
            <v>0</v>
          </cell>
          <cell r="U79">
            <v>5375.88</v>
          </cell>
          <cell r="V79">
            <v>0</v>
          </cell>
        </row>
      </sheetData>
      <sheetData sheetId="12">
        <row r="5">
          <cell r="T5">
            <v>4700</v>
          </cell>
          <cell r="U5">
            <v>0</v>
          </cell>
          <cell r="V5">
            <v>0</v>
          </cell>
        </row>
        <row r="7">
          <cell r="T7">
            <v>0</v>
          </cell>
          <cell r="U7"/>
          <cell r="V7"/>
        </row>
        <row r="8">
          <cell r="T8">
            <v>0</v>
          </cell>
          <cell r="U8">
            <v>0</v>
          </cell>
          <cell r="V8">
            <v>0</v>
          </cell>
        </row>
        <row r="11">
          <cell r="T11">
            <v>122610</v>
          </cell>
          <cell r="U11">
            <v>0</v>
          </cell>
          <cell r="V11">
            <v>0</v>
          </cell>
        </row>
        <row r="17">
          <cell r="T17">
            <v>55020</v>
          </cell>
          <cell r="U17">
            <v>0</v>
          </cell>
          <cell r="V17">
            <v>0</v>
          </cell>
        </row>
        <row r="19">
          <cell r="T19">
            <v>5079.0600000000004</v>
          </cell>
          <cell r="U19">
            <v>0</v>
          </cell>
          <cell r="V19">
            <v>0</v>
          </cell>
        </row>
        <row r="21">
          <cell r="U21">
            <v>0</v>
          </cell>
          <cell r="V21">
            <v>0</v>
          </cell>
        </row>
        <row r="25">
          <cell r="T25">
            <v>40850</v>
          </cell>
          <cell r="U25">
            <v>0</v>
          </cell>
          <cell r="V25">
            <v>0</v>
          </cell>
        </row>
        <row r="27">
          <cell r="T27">
            <v>6130</v>
          </cell>
          <cell r="U27">
            <v>0</v>
          </cell>
          <cell r="V27">
            <v>0</v>
          </cell>
        </row>
        <row r="29">
          <cell r="T29">
            <v>383597.08999999997</v>
          </cell>
          <cell r="U29">
            <v>92155</v>
          </cell>
          <cell r="V29">
            <v>257934.35</v>
          </cell>
        </row>
        <row r="46">
          <cell r="T46">
            <v>98200</v>
          </cell>
          <cell r="U46">
            <v>0</v>
          </cell>
          <cell r="V46">
            <v>0</v>
          </cell>
        </row>
        <row r="50">
          <cell r="T50">
            <v>27710.16</v>
          </cell>
          <cell r="U50">
            <v>0</v>
          </cell>
          <cell r="V50">
            <v>0</v>
          </cell>
        </row>
        <row r="54">
          <cell r="T54">
            <v>0</v>
          </cell>
          <cell r="U54">
            <v>0</v>
          </cell>
          <cell r="V54">
            <v>0</v>
          </cell>
        </row>
        <row r="56">
          <cell r="U56">
            <v>0</v>
          </cell>
          <cell r="V56">
            <v>0</v>
          </cell>
        </row>
        <row r="59">
          <cell r="T59">
            <v>5890</v>
          </cell>
          <cell r="U59">
            <v>0</v>
          </cell>
          <cell r="V59">
            <v>0</v>
          </cell>
        </row>
        <row r="61">
          <cell r="T61">
            <v>10542.039999999999</v>
          </cell>
          <cell r="U61">
            <v>0</v>
          </cell>
          <cell r="V61">
            <v>0</v>
          </cell>
        </row>
        <row r="73">
          <cell r="T73">
            <v>26745.54</v>
          </cell>
          <cell r="U73">
            <v>0</v>
          </cell>
          <cell r="V73">
            <v>0</v>
          </cell>
        </row>
        <row r="96">
          <cell r="T96">
            <v>0</v>
          </cell>
          <cell r="U96">
            <v>0</v>
          </cell>
          <cell r="V96">
            <v>0</v>
          </cell>
        </row>
        <row r="98">
          <cell r="T98">
            <v>94770.15</v>
          </cell>
          <cell r="U98">
            <v>0</v>
          </cell>
          <cell r="V98">
            <v>0</v>
          </cell>
        </row>
      </sheetData>
      <sheetData sheetId="13">
        <row r="22">
          <cell r="T22">
            <v>290134.67</v>
          </cell>
          <cell r="U22">
            <v>0</v>
          </cell>
          <cell r="V22">
            <v>72675.199999999997</v>
          </cell>
        </row>
      </sheetData>
      <sheetData sheetId="14">
        <row r="4">
          <cell r="Q4">
            <v>1303806</v>
          </cell>
          <cell r="T4">
            <v>1282205.96</v>
          </cell>
          <cell r="U4">
            <v>0</v>
          </cell>
          <cell r="V4">
            <v>0</v>
          </cell>
        </row>
        <row r="94">
          <cell r="T94"/>
          <cell r="U94"/>
          <cell r="V94"/>
        </row>
        <row r="95">
          <cell r="T95">
            <v>63324.93</v>
          </cell>
          <cell r="U95">
            <v>0</v>
          </cell>
          <cell r="V95">
            <v>270276.03000000003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N5">
            <v>66603.259999999995</v>
          </cell>
          <cell r="O5">
            <v>0</v>
          </cell>
          <cell r="P5">
            <v>0</v>
          </cell>
          <cell r="Q5">
            <v>73535</v>
          </cell>
          <cell r="R5">
            <v>0</v>
          </cell>
          <cell r="S5">
            <v>0</v>
          </cell>
          <cell r="T5">
            <v>73126.780000000013</v>
          </cell>
          <cell r="U5">
            <v>0</v>
          </cell>
          <cell r="V5">
            <v>0</v>
          </cell>
        </row>
        <row r="16">
          <cell r="N16">
            <v>33301.229999999996</v>
          </cell>
          <cell r="O16">
            <v>0</v>
          </cell>
          <cell r="P16">
            <v>0</v>
          </cell>
          <cell r="Q16">
            <v>39955</v>
          </cell>
          <cell r="R16">
            <v>0</v>
          </cell>
          <cell r="S16">
            <v>0</v>
          </cell>
          <cell r="T16">
            <v>39538.14</v>
          </cell>
          <cell r="U16">
            <v>0</v>
          </cell>
          <cell r="V16">
            <v>0</v>
          </cell>
        </row>
        <row r="27">
          <cell r="N27">
            <v>45254.14</v>
          </cell>
          <cell r="O27">
            <v>0</v>
          </cell>
          <cell r="P27">
            <v>0</v>
          </cell>
          <cell r="Q27">
            <v>68700</v>
          </cell>
          <cell r="R27">
            <v>0</v>
          </cell>
          <cell r="S27">
            <v>0</v>
          </cell>
          <cell r="T27">
            <v>59966.950000000004</v>
          </cell>
          <cell r="U27">
            <v>0</v>
          </cell>
          <cell r="V27">
            <v>0</v>
          </cell>
        </row>
        <row r="32">
          <cell r="N32">
            <v>2500.8999999999996</v>
          </cell>
          <cell r="O32">
            <v>0</v>
          </cell>
          <cell r="P32">
            <v>0</v>
          </cell>
          <cell r="Q32">
            <v>4800</v>
          </cell>
          <cell r="R32">
            <v>0</v>
          </cell>
          <cell r="S32">
            <v>0</v>
          </cell>
          <cell r="T32">
            <v>3843.56</v>
          </cell>
          <cell r="U32">
            <v>0</v>
          </cell>
          <cell r="V32">
            <v>0</v>
          </cell>
        </row>
        <row r="39">
          <cell r="N39">
            <v>11465.310000000001</v>
          </cell>
          <cell r="O39">
            <v>0</v>
          </cell>
          <cell r="P39">
            <v>0</v>
          </cell>
          <cell r="Q39">
            <v>40495</v>
          </cell>
          <cell r="R39">
            <v>0</v>
          </cell>
          <cell r="S39">
            <v>0</v>
          </cell>
          <cell r="T39">
            <v>18873.04</v>
          </cell>
          <cell r="U39">
            <v>0</v>
          </cell>
          <cell r="V39">
            <v>0</v>
          </cell>
        </row>
        <row r="52">
          <cell r="N52">
            <v>6420</v>
          </cell>
          <cell r="O52">
            <v>0</v>
          </cell>
          <cell r="P52">
            <v>0</v>
          </cell>
          <cell r="Q52">
            <v>2500</v>
          </cell>
          <cell r="R52">
            <v>75000</v>
          </cell>
          <cell r="S52">
            <v>0</v>
          </cell>
          <cell r="T52">
            <v>0</v>
          </cell>
          <cell r="U52">
            <v>68928</v>
          </cell>
          <cell r="V52">
            <v>0</v>
          </cell>
        </row>
        <row r="56">
          <cell r="N56">
            <v>1619.9499999999998</v>
          </cell>
          <cell r="O56">
            <v>122698.12</v>
          </cell>
          <cell r="P56">
            <v>0</v>
          </cell>
          <cell r="Q56">
            <v>4650</v>
          </cell>
          <cell r="R56">
            <v>82813</v>
          </cell>
          <cell r="S56">
            <v>0</v>
          </cell>
          <cell r="T56">
            <v>473.97999999999996</v>
          </cell>
          <cell r="U56">
            <v>67770.17</v>
          </cell>
          <cell r="V56">
            <v>0</v>
          </cell>
        </row>
        <row r="68">
          <cell r="N68">
            <v>62791.450000000004</v>
          </cell>
          <cell r="O68">
            <v>0</v>
          </cell>
          <cell r="P68">
            <v>0</v>
          </cell>
          <cell r="Q68">
            <v>76665</v>
          </cell>
          <cell r="R68">
            <v>0</v>
          </cell>
          <cell r="S68">
            <v>0</v>
          </cell>
          <cell r="T68">
            <v>76364.48000000001</v>
          </cell>
          <cell r="U68">
            <v>0</v>
          </cell>
          <cell r="V68">
            <v>0</v>
          </cell>
        </row>
        <row r="75">
          <cell r="N75">
            <v>4000</v>
          </cell>
          <cell r="O75">
            <v>0</v>
          </cell>
          <cell r="P75">
            <v>0</v>
          </cell>
          <cell r="Q75">
            <v>5450</v>
          </cell>
          <cell r="R75">
            <v>0</v>
          </cell>
          <cell r="S75">
            <v>0</v>
          </cell>
          <cell r="T75">
            <v>5450</v>
          </cell>
          <cell r="U75">
            <v>0</v>
          </cell>
          <cell r="V75">
            <v>0</v>
          </cell>
        </row>
        <row r="79">
          <cell r="N79">
            <v>6706.8700000000008</v>
          </cell>
          <cell r="O79">
            <v>0</v>
          </cell>
          <cell r="P79">
            <v>0</v>
          </cell>
          <cell r="Q79">
            <v>7170</v>
          </cell>
          <cell r="R79">
            <v>0</v>
          </cell>
          <cell r="S79">
            <v>0</v>
          </cell>
          <cell r="T79">
            <v>6541.25</v>
          </cell>
          <cell r="U79">
            <v>0</v>
          </cell>
          <cell r="V79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</sheetData>
      <sheetData sheetId="1">
        <row r="5">
          <cell r="N5">
            <v>174.32</v>
          </cell>
          <cell r="O5">
            <v>0</v>
          </cell>
          <cell r="P5">
            <v>0</v>
          </cell>
          <cell r="Q5">
            <v>240</v>
          </cell>
          <cell r="R5">
            <v>0</v>
          </cell>
          <cell r="S5">
            <v>0</v>
          </cell>
          <cell r="T5">
            <v>231.12</v>
          </cell>
          <cell r="U5">
            <v>0</v>
          </cell>
          <cell r="V5">
            <v>0</v>
          </cell>
        </row>
        <row r="7">
          <cell r="N7">
            <v>5374.42</v>
          </cell>
          <cell r="O7">
            <v>0</v>
          </cell>
          <cell r="P7">
            <v>0</v>
          </cell>
          <cell r="Q7">
            <v>6550</v>
          </cell>
          <cell r="R7">
            <v>0</v>
          </cell>
          <cell r="S7">
            <v>0</v>
          </cell>
          <cell r="T7">
            <v>5627.3499999999995</v>
          </cell>
          <cell r="U7">
            <v>0</v>
          </cell>
          <cell r="V7">
            <v>0</v>
          </cell>
        </row>
        <row r="12">
          <cell r="N12">
            <v>28450.58</v>
          </cell>
          <cell r="O12">
            <v>0</v>
          </cell>
          <cell r="P12">
            <v>0</v>
          </cell>
          <cell r="Q12">
            <v>23450</v>
          </cell>
          <cell r="R12">
            <v>0</v>
          </cell>
          <cell r="S12">
            <v>0</v>
          </cell>
          <cell r="T12">
            <v>23316.080000000002</v>
          </cell>
          <cell r="U12">
            <v>0</v>
          </cell>
          <cell r="V12">
            <v>0</v>
          </cell>
        </row>
        <row r="20"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2"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4000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9">
          <cell r="N29">
            <v>3000</v>
          </cell>
          <cell r="O29">
            <v>0</v>
          </cell>
          <cell r="P29">
            <v>0</v>
          </cell>
          <cell r="Q29">
            <v>3000</v>
          </cell>
          <cell r="R29">
            <v>0</v>
          </cell>
          <cell r="S29">
            <v>0</v>
          </cell>
          <cell r="T29">
            <v>3000</v>
          </cell>
          <cell r="U29">
            <v>0</v>
          </cell>
          <cell r="V29">
            <v>0</v>
          </cell>
        </row>
        <row r="32">
          <cell r="N32">
            <v>10277.939999999999</v>
          </cell>
          <cell r="O32">
            <v>0</v>
          </cell>
          <cell r="P32">
            <v>0</v>
          </cell>
          <cell r="Q32">
            <v>12700</v>
          </cell>
          <cell r="R32">
            <v>0</v>
          </cell>
          <cell r="S32">
            <v>0</v>
          </cell>
          <cell r="T32">
            <v>8039.57</v>
          </cell>
          <cell r="U32">
            <v>0</v>
          </cell>
          <cell r="V32">
            <v>0</v>
          </cell>
        </row>
        <row r="46">
          <cell r="N46">
            <v>8976.119999999999</v>
          </cell>
          <cell r="O46">
            <v>0</v>
          </cell>
          <cell r="P46">
            <v>0</v>
          </cell>
          <cell r="Q46">
            <v>1600</v>
          </cell>
          <cell r="R46">
            <v>0</v>
          </cell>
          <cell r="S46">
            <v>0</v>
          </cell>
          <cell r="T46">
            <v>1408</v>
          </cell>
          <cell r="U46">
            <v>0</v>
          </cell>
          <cell r="V46">
            <v>0</v>
          </cell>
        </row>
        <row r="52">
          <cell r="N52">
            <v>3997.79</v>
          </cell>
          <cell r="O52">
            <v>0</v>
          </cell>
          <cell r="P52">
            <v>0</v>
          </cell>
          <cell r="Q52">
            <v>15500</v>
          </cell>
          <cell r="R52">
            <v>0</v>
          </cell>
          <cell r="S52">
            <v>0</v>
          </cell>
          <cell r="T52">
            <v>14113.509999999998</v>
          </cell>
          <cell r="U52">
            <v>0</v>
          </cell>
          <cell r="V52">
            <v>0</v>
          </cell>
        </row>
      </sheetData>
      <sheetData sheetId="2">
        <row r="4">
          <cell r="N4">
            <v>56476.99</v>
          </cell>
          <cell r="O4">
            <v>26985.919999999998</v>
          </cell>
          <cell r="P4">
            <v>0</v>
          </cell>
          <cell r="Q4">
            <v>49300</v>
          </cell>
          <cell r="R4">
            <v>3880</v>
          </cell>
          <cell r="S4">
            <v>0</v>
          </cell>
          <cell r="T4">
            <v>45003.060000000005</v>
          </cell>
          <cell r="U4">
            <v>3870</v>
          </cell>
          <cell r="V4">
            <v>0</v>
          </cell>
        </row>
        <row r="19">
          <cell r="N19">
            <v>5028.0999999999995</v>
          </cell>
          <cell r="O19">
            <v>0</v>
          </cell>
          <cell r="P19">
            <v>0</v>
          </cell>
          <cell r="Q19">
            <v>7100</v>
          </cell>
          <cell r="R19">
            <v>0</v>
          </cell>
          <cell r="S19">
            <v>0</v>
          </cell>
          <cell r="T19">
            <v>4061.41</v>
          </cell>
          <cell r="U19">
            <v>0</v>
          </cell>
          <cell r="V19">
            <v>0</v>
          </cell>
        </row>
        <row r="25">
          <cell r="N25">
            <v>889.87000000000012</v>
          </cell>
          <cell r="O25">
            <v>0</v>
          </cell>
          <cell r="P25">
            <v>0</v>
          </cell>
          <cell r="Q25">
            <v>1800</v>
          </cell>
          <cell r="R25">
            <v>0</v>
          </cell>
          <cell r="S25">
            <v>0</v>
          </cell>
          <cell r="T25">
            <v>1201</v>
          </cell>
          <cell r="U25">
            <v>0</v>
          </cell>
          <cell r="V25">
            <v>0</v>
          </cell>
        </row>
        <row r="30">
          <cell r="N30">
            <v>1067.68</v>
          </cell>
          <cell r="O30">
            <v>0</v>
          </cell>
          <cell r="P30">
            <v>0</v>
          </cell>
          <cell r="Q30">
            <v>2360</v>
          </cell>
          <cell r="R30">
            <v>0</v>
          </cell>
          <cell r="S30">
            <v>0</v>
          </cell>
          <cell r="T30">
            <v>2357.02</v>
          </cell>
          <cell r="U30">
            <v>0</v>
          </cell>
          <cell r="V30">
            <v>0</v>
          </cell>
        </row>
        <row r="33">
          <cell r="N33">
            <v>163316.50000000006</v>
          </cell>
          <cell r="O33">
            <v>387</v>
          </cell>
          <cell r="P33">
            <v>0</v>
          </cell>
          <cell r="Q33">
            <v>208020</v>
          </cell>
          <cell r="R33">
            <v>2052640</v>
          </cell>
          <cell r="S33">
            <v>0</v>
          </cell>
          <cell r="T33">
            <v>173217.00000000003</v>
          </cell>
          <cell r="U33">
            <v>2051072.15</v>
          </cell>
          <cell r="V33">
            <v>0</v>
          </cell>
        </row>
        <row r="86">
          <cell r="N86">
            <v>8219</v>
          </cell>
          <cell r="O86">
            <v>4</v>
          </cell>
          <cell r="P86">
            <v>0</v>
          </cell>
          <cell r="Q86">
            <v>2760</v>
          </cell>
          <cell r="R86">
            <v>68509</v>
          </cell>
          <cell r="S86">
            <v>0</v>
          </cell>
          <cell r="T86">
            <v>1930.1399999999999</v>
          </cell>
          <cell r="U86">
            <v>66723.81</v>
          </cell>
          <cell r="V86">
            <v>0</v>
          </cell>
        </row>
        <row r="91">
          <cell r="N91">
            <v>4281.7</v>
          </cell>
          <cell r="O91">
            <v>0</v>
          </cell>
          <cell r="P91">
            <v>0</v>
          </cell>
          <cell r="Q91">
            <v>6900</v>
          </cell>
          <cell r="R91">
            <v>0</v>
          </cell>
          <cell r="S91">
            <v>0</v>
          </cell>
          <cell r="T91">
            <v>6711.8</v>
          </cell>
          <cell r="U91">
            <v>0</v>
          </cell>
          <cell r="V91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600</v>
          </cell>
          <cell r="R97">
            <v>0</v>
          </cell>
          <cell r="S97">
            <v>0</v>
          </cell>
          <cell r="T97">
            <v>27.35</v>
          </cell>
          <cell r="U97">
            <v>0</v>
          </cell>
          <cell r="V97">
            <v>0</v>
          </cell>
        </row>
      </sheetData>
      <sheetData sheetId="3">
        <row r="4">
          <cell r="N4">
            <v>24710.9</v>
          </cell>
          <cell r="O4">
            <v>0</v>
          </cell>
          <cell r="P4">
            <v>0</v>
          </cell>
          <cell r="Q4">
            <v>30750</v>
          </cell>
          <cell r="R4">
            <v>0</v>
          </cell>
          <cell r="S4">
            <v>0</v>
          </cell>
          <cell r="T4">
            <v>22668.84</v>
          </cell>
          <cell r="U4">
            <v>0</v>
          </cell>
          <cell r="V4">
            <v>0</v>
          </cell>
        </row>
        <row r="17">
          <cell r="N17">
            <v>20748.82</v>
          </cell>
          <cell r="O17">
            <v>0</v>
          </cell>
          <cell r="P17">
            <v>0</v>
          </cell>
          <cell r="Q17">
            <v>22520</v>
          </cell>
          <cell r="R17">
            <v>0</v>
          </cell>
          <cell r="S17">
            <v>0</v>
          </cell>
          <cell r="T17">
            <v>22410.2</v>
          </cell>
          <cell r="U17">
            <v>0</v>
          </cell>
          <cell r="V17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9">
          <cell r="N29"/>
          <cell r="O29"/>
          <cell r="P29"/>
          <cell r="Q29"/>
          <cell r="R29"/>
          <cell r="S29"/>
          <cell r="T29"/>
          <cell r="U29"/>
          <cell r="V29"/>
        </row>
      </sheetData>
      <sheetData sheetId="4">
        <row r="5">
          <cell r="N5">
            <v>458885.63999999978</v>
          </cell>
          <cell r="O5">
            <v>0</v>
          </cell>
          <cell r="P5">
            <v>14127.23</v>
          </cell>
          <cell r="Q5">
            <v>524200</v>
          </cell>
          <cell r="R5">
            <v>0</v>
          </cell>
          <cell r="S5">
            <v>15000</v>
          </cell>
          <cell r="T5">
            <v>516795.72000000003</v>
          </cell>
          <cell r="U5">
            <v>0</v>
          </cell>
          <cell r="V5">
            <v>14365.76</v>
          </cell>
        </row>
        <row r="56">
          <cell r="N56">
            <v>86528.76</v>
          </cell>
          <cell r="O56">
            <v>16705.919999999998</v>
          </cell>
          <cell r="P56">
            <v>0</v>
          </cell>
          <cell r="Q56">
            <v>104100</v>
          </cell>
          <cell r="R56">
            <v>0</v>
          </cell>
          <cell r="S56">
            <v>0</v>
          </cell>
          <cell r="T56">
            <v>97906.209999999992</v>
          </cell>
          <cell r="U56">
            <v>0</v>
          </cell>
          <cell r="V56">
            <v>0</v>
          </cell>
        </row>
        <row r="76">
          <cell r="N76">
            <v>45720.94</v>
          </cell>
          <cell r="O76">
            <v>0</v>
          </cell>
          <cell r="P76">
            <v>0</v>
          </cell>
          <cell r="Q76">
            <v>51450</v>
          </cell>
          <cell r="R76">
            <v>0</v>
          </cell>
          <cell r="S76">
            <v>0</v>
          </cell>
          <cell r="T76">
            <v>51328.92</v>
          </cell>
          <cell r="U76">
            <v>0</v>
          </cell>
          <cell r="V76">
            <v>0</v>
          </cell>
        </row>
        <row r="79">
          <cell r="N79">
            <v>48834.889999999992</v>
          </cell>
          <cell r="O79">
            <v>0</v>
          </cell>
          <cell r="P79">
            <v>0</v>
          </cell>
          <cell r="Q79">
            <v>55550</v>
          </cell>
          <cell r="R79">
            <v>0</v>
          </cell>
          <cell r="S79">
            <v>0</v>
          </cell>
          <cell r="T79">
            <v>54009.369999999995</v>
          </cell>
          <cell r="U79">
            <v>0</v>
          </cell>
          <cell r="V79">
            <v>0</v>
          </cell>
        </row>
        <row r="87"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9">
          <cell r="N89">
            <v>4175.16</v>
          </cell>
          <cell r="O89">
            <v>886.68</v>
          </cell>
          <cell r="P89">
            <v>0</v>
          </cell>
          <cell r="Q89">
            <v>28700</v>
          </cell>
          <cell r="R89">
            <v>5100</v>
          </cell>
          <cell r="S89">
            <v>0</v>
          </cell>
          <cell r="T89">
            <v>3677.6800000000003</v>
          </cell>
          <cell r="U89">
            <v>0</v>
          </cell>
          <cell r="V89">
            <v>0</v>
          </cell>
        </row>
        <row r="105">
          <cell r="N105">
            <v>1188</v>
          </cell>
          <cell r="O105">
            <v>252111.37</v>
          </cell>
          <cell r="P105">
            <v>0</v>
          </cell>
          <cell r="Q105">
            <v>5000</v>
          </cell>
          <cell r="R105">
            <v>270447</v>
          </cell>
          <cell r="S105">
            <v>0</v>
          </cell>
          <cell r="T105">
            <v>0</v>
          </cell>
          <cell r="U105">
            <v>269820.08</v>
          </cell>
          <cell r="V105">
            <v>0</v>
          </cell>
        </row>
        <row r="112">
          <cell r="N112">
            <v>56144.74</v>
          </cell>
          <cell r="O112">
            <v>0</v>
          </cell>
          <cell r="P112">
            <v>0</v>
          </cell>
          <cell r="Q112">
            <v>111300</v>
          </cell>
          <cell r="R112">
            <v>0</v>
          </cell>
          <cell r="S112">
            <v>0</v>
          </cell>
          <cell r="T112">
            <v>111280.07</v>
          </cell>
          <cell r="U112">
            <v>0</v>
          </cell>
          <cell r="V112">
            <v>0</v>
          </cell>
        </row>
        <row r="115">
          <cell r="N115">
            <v>110495.67</v>
          </cell>
          <cell r="O115">
            <v>0</v>
          </cell>
          <cell r="P115">
            <v>0</v>
          </cell>
          <cell r="Q115">
            <v>89000</v>
          </cell>
          <cell r="R115">
            <v>0</v>
          </cell>
          <cell r="S115">
            <v>0</v>
          </cell>
          <cell r="T115">
            <v>88978.3</v>
          </cell>
          <cell r="U115">
            <v>0</v>
          </cell>
          <cell r="V115">
            <v>0</v>
          </cell>
        </row>
        <row r="118"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4">
          <cell r="N124">
            <v>7000</v>
          </cell>
          <cell r="O124">
            <v>0</v>
          </cell>
          <cell r="P124">
            <v>0</v>
          </cell>
          <cell r="Q124">
            <v>7000</v>
          </cell>
          <cell r="R124">
            <v>0</v>
          </cell>
          <cell r="S124">
            <v>0</v>
          </cell>
          <cell r="T124">
            <v>7000</v>
          </cell>
          <cell r="U124">
            <v>0</v>
          </cell>
          <cell r="V124">
            <v>0</v>
          </cell>
        </row>
      </sheetData>
      <sheetData sheetId="5">
        <row r="5">
          <cell r="N5">
            <v>2959.68</v>
          </cell>
          <cell r="O5">
            <v>0</v>
          </cell>
          <cell r="P5">
            <v>0</v>
          </cell>
          <cell r="Q5">
            <v>6100</v>
          </cell>
          <cell r="R5">
            <v>310130</v>
          </cell>
          <cell r="S5">
            <v>0</v>
          </cell>
          <cell r="T5">
            <v>4049.6</v>
          </cell>
          <cell r="U5">
            <v>310128.13</v>
          </cell>
          <cell r="V5">
            <v>0</v>
          </cell>
        </row>
        <row r="10">
          <cell r="N10">
            <v>515270.39</v>
          </cell>
          <cell r="O10">
            <v>8924.6299999999992</v>
          </cell>
          <cell r="P10">
            <v>0</v>
          </cell>
          <cell r="Q10">
            <v>558900</v>
          </cell>
          <cell r="R10">
            <v>8000</v>
          </cell>
          <cell r="S10">
            <v>0</v>
          </cell>
          <cell r="T10">
            <v>558163.04</v>
          </cell>
          <cell r="U10">
            <v>7939.08</v>
          </cell>
          <cell r="V10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8"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30">
          <cell r="N30">
            <v>105011.51</v>
          </cell>
          <cell r="O30">
            <v>0</v>
          </cell>
          <cell r="P30">
            <v>0</v>
          </cell>
          <cell r="Q30">
            <v>110200</v>
          </cell>
          <cell r="R30">
            <v>0</v>
          </cell>
          <cell r="S30">
            <v>0</v>
          </cell>
          <cell r="T30">
            <v>108161.06000000001</v>
          </cell>
          <cell r="U30">
            <v>0</v>
          </cell>
          <cell r="V30">
            <v>0</v>
          </cell>
        </row>
      </sheetData>
      <sheetData sheetId="6">
        <row r="5"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7">
          <cell r="N7">
            <v>0</v>
          </cell>
          <cell r="O7">
            <v>159969.53</v>
          </cell>
          <cell r="P7">
            <v>0</v>
          </cell>
          <cell r="Q7">
            <v>0</v>
          </cell>
          <cell r="R7">
            <v>303000</v>
          </cell>
          <cell r="S7">
            <v>0</v>
          </cell>
          <cell r="T7">
            <v>0</v>
          </cell>
          <cell r="U7">
            <v>267388.28999999998</v>
          </cell>
          <cell r="V7">
            <v>0</v>
          </cell>
        </row>
        <row r="15">
          <cell r="N15">
            <v>75086.039999999994</v>
          </cell>
          <cell r="O15">
            <v>0</v>
          </cell>
          <cell r="P15">
            <v>0</v>
          </cell>
          <cell r="Q15">
            <v>100300</v>
          </cell>
          <cell r="R15">
            <v>0</v>
          </cell>
          <cell r="S15">
            <v>0</v>
          </cell>
          <cell r="T15">
            <v>100213.08</v>
          </cell>
          <cell r="U15">
            <v>0</v>
          </cell>
          <cell r="V15">
            <v>0</v>
          </cell>
        </row>
        <row r="17">
          <cell r="N17">
            <v>199724.64</v>
          </cell>
          <cell r="O17">
            <v>0</v>
          </cell>
          <cell r="P17">
            <v>0</v>
          </cell>
          <cell r="Q17">
            <v>245100</v>
          </cell>
          <cell r="R17">
            <v>0</v>
          </cell>
          <cell r="S17">
            <v>0</v>
          </cell>
          <cell r="T17">
            <v>245074.72</v>
          </cell>
          <cell r="U17">
            <v>0</v>
          </cell>
          <cell r="V17">
            <v>0</v>
          </cell>
        </row>
        <row r="19">
          <cell r="N19">
            <v>68678.720000000001</v>
          </cell>
          <cell r="O19">
            <v>0</v>
          </cell>
          <cell r="P19">
            <v>0</v>
          </cell>
          <cell r="Q19">
            <v>81200</v>
          </cell>
          <cell r="R19">
            <v>0</v>
          </cell>
          <cell r="S19">
            <v>0</v>
          </cell>
          <cell r="T19">
            <v>79082.53</v>
          </cell>
          <cell r="U19">
            <v>0</v>
          </cell>
          <cell r="V19">
            <v>0</v>
          </cell>
        </row>
        <row r="25">
          <cell r="N25">
            <v>30148.2</v>
          </cell>
          <cell r="O25">
            <v>0</v>
          </cell>
          <cell r="P25">
            <v>0</v>
          </cell>
          <cell r="Q25">
            <v>30000</v>
          </cell>
          <cell r="R25">
            <v>0</v>
          </cell>
          <cell r="S25">
            <v>0</v>
          </cell>
          <cell r="T25">
            <v>29989.919999999998</v>
          </cell>
          <cell r="U25">
            <v>0</v>
          </cell>
          <cell r="V25">
            <v>0</v>
          </cell>
        </row>
        <row r="27">
          <cell r="N27">
            <v>3016.95</v>
          </cell>
          <cell r="O27">
            <v>0</v>
          </cell>
          <cell r="P27">
            <v>0</v>
          </cell>
          <cell r="Q27">
            <v>24620</v>
          </cell>
          <cell r="R27">
            <v>0</v>
          </cell>
          <cell r="S27">
            <v>0</v>
          </cell>
          <cell r="T27">
            <v>24610.55</v>
          </cell>
          <cell r="U27">
            <v>0</v>
          </cell>
          <cell r="V27">
            <v>0</v>
          </cell>
        </row>
        <row r="30">
          <cell r="N30">
            <v>0</v>
          </cell>
          <cell r="O30">
            <v>1897.86</v>
          </cell>
          <cell r="P30">
            <v>0</v>
          </cell>
          <cell r="Q30">
            <v>1000</v>
          </cell>
          <cell r="R30">
            <v>866239</v>
          </cell>
          <cell r="S30">
            <v>0</v>
          </cell>
          <cell r="T30">
            <v>520.79999999999995</v>
          </cell>
          <cell r="U30">
            <v>864341.04</v>
          </cell>
          <cell r="V30">
            <v>0</v>
          </cell>
        </row>
        <row r="32">
          <cell r="N32">
            <v>39115.480000000003</v>
          </cell>
          <cell r="O32">
            <v>20000</v>
          </cell>
          <cell r="P32">
            <v>0</v>
          </cell>
          <cell r="Q32">
            <v>40000</v>
          </cell>
          <cell r="R32">
            <v>30000</v>
          </cell>
          <cell r="S32">
            <v>0</v>
          </cell>
          <cell r="T32">
            <v>39963.46</v>
          </cell>
          <cell r="U32">
            <v>29946.720000000001</v>
          </cell>
          <cell r="V32">
            <v>0</v>
          </cell>
        </row>
        <row r="35">
          <cell r="N35">
            <v>0</v>
          </cell>
          <cell r="O35">
            <v>10000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8"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</sheetData>
      <sheetData sheetId="7">
        <row r="4">
          <cell r="N4">
            <v>74225.87</v>
          </cell>
          <cell r="O4">
            <v>0</v>
          </cell>
          <cell r="P4">
            <v>0</v>
          </cell>
          <cell r="Q4">
            <v>85000</v>
          </cell>
          <cell r="R4">
            <v>0</v>
          </cell>
          <cell r="S4">
            <v>0</v>
          </cell>
          <cell r="T4">
            <v>80790.98</v>
          </cell>
          <cell r="U4">
            <v>0</v>
          </cell>
          <cell r="V4">
            <v>0</v>
          </cell>
        </row>
        <row r="7">
          <cell r="N7">
            <v>5000</v>
          </cell>
          <cell r="O7">
            <v>0</v>
          </cell>
          <cell r="P7">
            <v>0</v>
          </cell>
          <cell r="Q7">
            <v>200</v>
          </cell>
          <cell r="R7">
            <v>0</v>
          </cell>
          <cell r="S7">
            <v>0</v>
          </cell>
          <cell r="T7">
            <v>172.5</v>
          </cell>
          <cell r="U7">
            <v>0</v>
          </cell>
          <cell r="V7">
            <v>0</v>
          </cell>
        </row>
      </sheetData>
      <sheetData sheetId="8">
        <row r="4">
          <cell r="N4">
            <v>2735.57</v>
          </cell>
          <cell r="O4">
            <v>0</v>
          </cell>
          <cell r="P4">
            <v>0</v>
          </cell>
          <cell r="Q4">
            <v>4000</v>
          </cell>
          <cell r="R4">
            <v>0</v>
          </cell>
          <cell r="S4">
            <v>0</v>
          </cell>
          <cell r="T4">
            <v>3878.35</v>
          </cell>
          <cell r="U4">
            <v>0</v>
          </cell>
          <cell r="V4">
            <v>0</v>
          </cell>
        </row>
        <row r="20">
          <cell r="N20">
            <v>160305</v>
          </cell>
          <cell r="O20"/>
          <cell r="P20"/>
          <cell r="Q20">
            <v>174155</v>
          </cell>
          <cell r="R20"/>
          <cell r="S20"/>
          <cell r="T20">
            <v>174155</v>
          </cell>
          <cell r="U20"/>
          <cell r="V20"/>
        </row>
        <row r="21">
          <cell r="N21">
            <v>306516</v>
          </cell>
          <cell r="O21"/>
          <cell r="P21"/>
          <cell r="Q21">
            <v>312191</v>
          </cell>
          <cell r="R21"/>
          <cell r="S21"/>
          <cell r="T21">
            <v>312191</v>
          </cell>
          <cell r="U21"/>
          <cell r="V21"/>
        </row>
        <row r="22">
          <cell r="N22">
            <v>373292</v>
          </cell>
          <cell r="O22"/>
          <cell r="P22"/>
          <cell r="Q22">
            <v>406089</v>
          </cell>
          <cell r="R22">
            <v>7610</v>
          </cell>
          <cell r="S22"/>
          <cell r="T22">
            <v>406089</v>
          </cell>
          <cell r="U22">
            <v>7609.49</v>
          </cell>
          <cell r="V22"/>
        </row>
        <row r="23">
          <cell r="N23"/>
          <cell r="O23"/>
          <cell r="P23"/>
          <cell r="Q23"/>
          <cell r="R23"/>
          <cell r="S23"/>
          <cell r="T23"/>
          <cell r="U23"/>
          <cell r="V23"/>
        </row>
        <row r="24">
          <cell r="N24">
            <v>204658</v>
          </cell>
          <cell r="O24">
            <v>49950.7</v>
          </cell>
          <cell r="P24"/>
          <cell r="Q24">
            <v>219549</v>
          </cell>
          <cell r="R24"/>
          <cell r="S24"/>
          <cell r="T24">
            <v>219549</v>
          </cell>
          <cell r="U24"/>
          <cell r="V24"/>
        </row>
        <row r="25">
          <cell r="N25">
            <v>210514</v>
          </cell>
          <cell r="O25">
            <v>2150</v>
          </cell>
          <cell r="P25"/>
          <cell r="Q25">
            <v>234040</v>
          </cell>
          <cell r="R25">
            <v>2565</v>
          </cell>
          <cell r="S25"/>
          <cell r="T25">
            <v>234040</v>
          </cell>
          <cell r="U25">
            <v>2565</v>
          </cell>
          <cell r="V25"/>
        </row>
        <row r="26">
          <cell r="N26">
            <v>209041</v>
          </cell>
          <cell r="O26"/>
          <cell r="P26"/>
          <cell r="Q26">
            <v>218787</v>
          </cell>
          <cell r="R26"/>
          <cell r="S26"/>
          <cell r="T26">
            <v>218787</v>
          </cell>
          <cell r="U26"/>
          <cell r="V26"/>
        </row>
        <row r="27">
          <cell r="N27">
            <v>40350</v>
          </cell>
          <cell r="O27"/>
          <cell r="P27"/>
          <cell r="Q27">
            <v>45000</v>
          </cell>
          <cell r="R27"/>
          <cell r="S27"/>
          <cell r="T27">
            <v>45000</v>
          </cell>
          <cell r="U27"/>
          <cell r="V27"/>
        </row>
        <row r="29">
          <cell r="N29">
            <v>385658</v>
          </cell>
          <cell r="O29">
            <v>13227</v>
          </cell>
          <cell r="P29">
            <v>0</v>
          </cell>
          <cell r="Q29">
            <v>457252</v>
          </cell>
          <cell r="R29">
            <v>10000</v>
          </cell>
          <cell r="S29">
            <v>0</v>
          </cell>
          <cell r="T29">
            <v>457252</v>
          </cell>
          <cell r="U29">
            <v>10000</v>
          </cell>
          <cell r="V29">
            <v>0</v>
          </cell>
        </row>
        <row r="32">
          <cell r="N32">
            <v>665775</v>
          </cell>
          <cell r="O32">
            <v>155908.87999999998</v>
          </cell>
          <cell r="P32">
            <v>0</v>
          </cell>
          <cell r="Q32">
            <v>751351</v>
          </cell>
          <cell r="R32">
            <v>57167</v>
          </cell>
          <cell r="S32">
            <v>0</v>
          </cell>
          <cell r="T32">
            <v>707851</v>
          </cell>
          <cell r="U32">
            <v>57166.01</v>
          </cell>
          <cell r="V32">
            <v>0</v>
          </cell>
        </row>
        <row r="36">
          <cell r="N36">
            <v>1135704</v>
          </cell>
          <cell r="O36">
            <v>0</v>
          </cell>
          <cell r="P36">
            <v>0</v>
          </cell>
          <cell r="Q36">
            <v>1272626</v>
          </cell>
          <cell r="R36">
            <v>92677</v>
          </cell>
          <cell r="S36">
            <v>0</v>
          </cell>
          <cell r="T36">
            <v>1215106</v>
          </cell>
          <cell r="U36">
            <v>87699.61</v>
          </cell>
          <cell r="V36">
            <v>0</v>
          </cell>
        </row>
        <row r="41">
          <cell r="N41">
            <v>762938.1</v>
          </cell>
          <cell r="O41">
            <v>7000</v>
          </cell>
          <cell r="P41">
            <v>0</v>
          </cell>
          <cell r="Q41">
            <v>878221</v>
          </cell>
          <cell r="R41">
            <v>9460</v>
          </cell>
          <cell r="S41">
            <v>0</v>
          </cell>
          <cell r="T41">
            <v>812680.9</v>
          </cell>
          <cell r="U41">
            <v>1843</v>
          </cell>
          <cell r="V41">
            <v>0</v>
          </cell>
        </row>
        <row r="44">
          <cell r="N44">
            <v>784249</v>
          </cell>
          <cell r="O44">
            <v>22995.94</v>
          </cell>
          <cell r="P44">
            <v>0</v>
          </cell>
          <cell r="Q44">
            <v>919361</v>
          </cell>
          <cell r="R44">
            <v>136640</v>
          </cell>
          <cell r="S44">
            <v>0</v>
          </cell>
          <cell r="T44">
            <v>807601</v>
          </cell>
          <cell r="U44">
            <v>119434.05</v>
          </cell>
          <cell r="V44">
            <v>0</v>
          </cell>
        </row>
        <row r="47">
          <cell r="N47">
            <v>437491</v>
          </cell>
          <cell r="O47">
            <v>13978.87</v>
          </cell>
          <cell r="P47">
            <v>0</v>
          </cell>
          <cell r="Q47">
            <v>555041</v>
          </cell>
          <cell r="R47">
            <v>6360</v>
          </cell>
          <cell r="S47">
            <v>0</v>
          </cell>
          <cell r="T47">
            <v>502001</v>
          </cell>
          <cell r="U47">
            <v>0</v>
          </cell>
          <cell r="V47">
            <v>0</v>
          </cell>
        </row>
        <row r="51">
          <cell r="N51">
            <v>448600</v>
          </cell>
          <cell r="O51"/>
          <cell r="P51"/>
          <cell r="Q51">
            <v>490859</v>
          </cell>
          <cell r="R51"/>
          <cell r="S51"/>
          <cell r="T51">
            <v>490859</v>
          </cell>
          <cell r="U51"/>
          <cell r="V51"/>
        </row>
        <row r="52">
          <cell r="N52">
            <v>171321</v>
          </cell>
          <cell r="O52"/>
          <cell r="P52"/>
          <cell r="Q52">
            <v>197111</v>
          </cell>
          <cell r="R52">
            <v>83000</v>
          </cell>
          <cell r="S52"/>
          <cell r="T52">
            <v>197111</v>
          </cell>
          <cell r="U52">
            <v>75942</v>
          </cell>
          <cell r="V52"/>
        </row>
        <row r="53">
          <cell r="N53">
            <v>228525.15000000002</v>
          </cell>
          <cell r="O53">
            <v>0</v>
          </cell>
          <cell r="P53">
            <v>0</v>
          </cell>
          <cell r="Q53">
            <v>266404</v>
          </cell>
          <cell r="R53">
            <v>0</v>
          </cell>
          <cell r="S53">
            <v>0</v>
          </cell>
          <cell r="T53">
            <v>259846.38999999998</v>
          </cell>
          <cell r="U53">
            <v>0</v>
          </cell>
          <cell r="V53">
            <v>0</v>
          </cell>
        </row>
        <row r="70">
          <cell r="N70">
            <v>354247.7</v>
          </cell>
          <cell r="O70"/>
          <cell r="P70"/>
          <cell r="Q70">
            <v>451590</v>
          </cell>
          <cell r="R70"/>
          <cell r="S70"/>
          <cell r="T70">
            <v>401455.82</v>
          </cell>
          <cell r="U70"/>
          <cell r="V70"/>
        </row>
        <row r="71">
          <cell r="N71">
            <v>3000</v>
          </cell>
          <cell r="O71">
            <v>0</v>
          </cell>
          <cell r="P71">
            <v>0</v>
          </cell>
          <cell r="Q71">
            <v>65154</v>
          </cell>
          <cell r="R71">
            <v>0</v>
          </cell>
          <cell r="S71">
            <v>0</v>
          </cell>
          <cell r="T71">
            <v>3068.18</v>
          </cell>
          <cell r="U71">
            <v>0</v>
          </cell>
          <cell r="V71">
            <v>0</v>
          </cell>
        </row>
        <row r="78">
          <cell r="Q78">
            <v>534428</v>
          </cell>
          <cell r="R78"/>
          <cell r="S78"/>
          <cell r="T78">
            <v>461499.01</v>
          </cell>
          <cell r="U78"/>
          <cell r="V78"/>
        </row>
      </sheetData>
      <sheetData sheetId="9">
        <row r="4">
          <cell r="N4">
            <v>4684.4799999999996</v>
          </cell>
          <cell r="O4">
            <v>0</v>
          </cell>
          <cell r="P4">
            <v>0</v>
          </cell>
          <cell r="Q4">
            <v>16650</v>
          </cell>
          <cell r="R4">
            <v>0</v>
          </cell>
          <cell r="S4">
            <v>0</v>
          </cell>
          <cell r="T4">
            <v>16618.190000000002</v>
          </cell>
          <cell r="U4">
            <v>0</v>
          </cell>
          <cell r="V4">
            <v>0</v>
          </cell>
        </row>
        <row r="12">
          <cell r="N12">
            <v>38628.360000000008</v>
          </cell>
          <cell r="O12">
            <v>0</v>
          </cell>
          <cell r="P12">
            <v>0</v>
          </cell>
          <cell r="Q12">
            <v>56900</v>
          </cell>
          <cell r="R12">
            <v>16285</v>
          </cell>
          <cell r="S12">
            <v>0</v>
          </cell>
          <cell r="T12">
            <v>42142.86</v>
          </cell>
          <cell r="U12">
            <v>15000</v>
          </cell>
          <cell r="V12">
            <v>0</v>
          </cell>
        </row>
        <row r="30">
          <cell r="N30">
            <v>39572.840000000004</v>
          </cell>
          <cell r="O30">
            <v>23132.400000000001</v>
          </cell>
          <cell r="P30">
            <v>0</v>
          </cell>
          <cell r="Q30">
            <v>58245</v>
          </cell>
          <cell r="R30">
            <v>12500</v>
          </cell>
          <cell r="S30">
            <v>0</v>
          </cell>
          <cell r="T30">
            <v>50284.31</v>
          </cell>
          <cell r="U30">
            <v>12488</v>
          </cell>
          <cell r="V30">
            <v>0</v>
          </cell>
        </row>
        <row r="47">
          <cell r="N47">
            <v>16311.189999999999</v>
          </cell>
          <cell r="O47">
            <v>35400</v>
          </cell>
          <cell r="P47">
            <v>0</v>
          </cell>
          <cell r="Q47">
            <v>21460</v>
          </cell>
          <cell r="R47">
            <v>0</v>
          </cell>
          <cell r="S47">
            <v>0</v>
          </cell>
          <cell r="T47">
            <v>18887.89</v>
          </cell>
          <cell r="U47">
            <v>0</v>
          </cell>
          <cell r="V47">
            <v>0</v>
          </cell>
        </row>
        <row r="57">
          <cell r="N57">
            <v>127282.05</v>
          </cell>
          <cell r="O57">
            <v>265472.82</v>
          </cell>
          <cell r="P57">
            <v>0</v>
          </cell>
          <cell r="Q57">
            <v>174292</v>
          </cell>
          <cell r="R57">
            <v>0</v>
          </cell>
          <cell r="S57">
            <v>0</v>
          </cell>
          <cell r="T57">
            <v>174077.45</v>
          </cell>
          <cell r="U57">
            <v>0</v>
          </cell>
          <cell r="V57">
            <v>0</v>
          </cell>
        </row>
        <row r="76">
          <cell r="N76">
            <v>7639.5599999999995</v>
          </cell>
          <cell r="O76">
            <v>0</v>
          </cell>
          <cell r="P76">
            <v>0</v>
          </cell>
          <cell r="Q76">
            <v>10750</v>
          </cell>
          <cell r="R76">
            <v>0</v>
          </cell>
          <cell r="S76">
            <v>0</v>
          </cell>
          <cell r="T76">
            <v>10117.540000000001</v>
          </cell>
          <cell r="U76">
            <v>0</v>
          </cell>
          <cell r="V76">
            <v>0</v>
          </cell>
        </row>
        <row r="83">
          <cell r="N83">
            <v>485.13</v>
          </cell>
          <cell r="O83">
            <v>0</v>
          </cell>
          <cell r="P83">
            <v>0</v>
          </cell>
          <cell r="Q83">
            <v>1320</v>
          </cell>
          <cell r="R83">
            <v>0</v>
          </cell>
          <cell r="S83">
            <v>0</v>
          </cell>
          <cell r="T83">
            <v>296.99</v>
          </cell>
          <cell r="U83">
            <v>0</v>
          </cell>
          <cell r="V83">
            <v>0</v>
          </cell>
        </row>
        <row r="88">
          <cell r="Q88">
            <v>30450</v>
          </cell>
          <cell r="R88">
            <v>0</v>
          </cell>
          <cell r="S88">
            <v>0</v>
          </cell>
          <cell r="T88">
            <v>6828</v>
          </cell>
          <cell r="U88">
            <v>0</v>
          </cell>
          <cell r="V88">
            <v>0</v>
          </cell>
        </row>
        <row r="95">
          <cell r="N95">
            <v>54800</v>
          </cell>
          <cell r="O95">
            <v>0</v>
          </cell>
          <cell r="P95">
            <v>0</v>
          </cell>
          <cell r="Q95">
            <v>60000</v>
          </cell>
          <cell r="R95">
            <v>0</v>
          </cell>
          <cell r="S95">
            <v>0</v>
          </cell>
          <cell r="T95">
            <v>59999.95</v>
          </cell>
          <cell r="U95">
            <v>0</v>
          </cell>
          <cell r="V95">
            <v>0</v>
          </cell>
        </row>
      </sheetData>
      <sheetData sheetId="10">
        <row r="4">
          <cell r="N4">
            <v>12590.36</v>
          </cell>
          <cell r="O4">
            <v>0</v>
          </cell>
          <cell r="P4">
            <v>0</v>
          </cell>
          <cell r="Q4">
            <v>16155</v>
          </cell>
          <cell r="R4">
            <v>0</v>
          </cell>
          <cell r="S4">
            <v>0</v>
          </cell>
          <cell r="T4">
            <v>15625.56</v>
          </cell>
          <cell r="U4">
            <v>0</v>
          </cell>
          <cell r="V4">
            <v>0</v>
          </cell>
        </row>
        <row r="18">
          <cell r="N18">
            <v>139313.45000000001</v>
          </cell>
          <cell r="O18">
            <v>0</v>
          </cell>
          <cell r="P18">
            <v>0</v>
          </cell>
          <cell r="Q18">
            <v>144500</v>
          </cell>
          <cell r="R18">
            <v>0</v>
          </cell>
          <cell r="S18">
            <v>0</v>
          </cell>
          <cell r="T18">
            <v>141086.28</v>
          </cell>
          <cell r="U18">
            <v>0</v>
          </cell>
          <cell r="V18">
            <v>0</v>
          </cell>
        </row>
        <row r="25">
          <cell r="N25">
            <v>4010.85</v>
          </cell>
          <cell r="O25">
            <v>3891.24</v>
          </cell>
          <cell r="P25">
            <v>0</v>
          </cell>
          <cell r="Q25">
            <v>4250</v>
          </cell>
          <cell r="R25">
            <v>0</v>
          </cell>
          <cell r="S25">
            <v>0</v>
          </cell>
          <cell r="T25">
            <v>856.26</v>
          </cell>
          <cell r="U25">
            <v>0</v>
          </cell>
          <cell r="V25">
            <v>0</v>
          </cell>
        </row>
        <row r="36">
          <cell r="N36">
            <v>528015.86</v>
          </cell>
          <cell r="O36">
            <v>0</v>
          </cell>
          <cell r="P36">
            <v>0</v>
          </cell>
          <cell r="Q36">
            <v>620191</v>
          </cell>
          <cell r="R36">
            <v>0</v>
          </cell>
          <cell r="S36">
            <v>0</v>
          </cell>
          <cell r="T36">
            <v>608439.04999999993</v>
          </cell>
          <cell r="U36">
            <v>0</v>
          </cell>
          <cell r="V36">
            <v>0</v>
          </cell>
        </row>
        <row r="114">
          <cell r="N114">
            <v>14968.659999999998</v>
          </cell>
          <cell r="O114">
            <v>0</v>
          </cell>
          <cell r="P114">
            <v>0</v>
          </cell>
          <cell r="Q114">
            <v>15895</v>
          </cell>
          <cell r="R114">
            <v>180000</v>
          </cell>
          <cell r="S114">
            <v>0</v>
          </cell>
          <cell r="T114">
            <v>10992.289999999999</v>
          </cell>
          <cell r="U114">
            <v>178445.47</v>
          </cell>
          <cell r="V114">
            <v>0</v>
          </cell>
        </row>
        <row r="126">
          <cell r="N126">
            <v>420</v>
          </cell>
          <cell r="O126">
            <v>0</v>
          </cell>
          <cell r="P126">
            <v>0</v>
          </cell>
          <cell r="Q126">
            <v>2500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9">
          <cell r="N129">
            <v>5000</v>
          </cell>
          <cell r="O129">
            <v>0</v>
          </cell>
          <cell r="P129">
            <v>0</v>
          </cell>
          <cell r="Q129">
            <v>10000</v>
          </cell>
          <cell r="R129">
            <v>0</v>
          </cell>
          <cell r="S129">
            <v>0</v>
          </cell>
          <cell r="T129">
            <v>9700</v>
          </cell>
          <cell r="U129">
            <v>0</v>
          </cell>
          <cell r="V129">
            <v>0</v>
          </cell>
        </row>
      </sheetData>
      <sheetData sheetId="11">
        <row r="5">
          <cell r="N5">
            <v>325533.99</v>
          </cell>
          <cell r="O5">
            <v>0</v>
          </cell>
          <cell r="P5">
            <v>0</v>
          </cell>
          <cell r="Q5">
            <v>355100</v>
          </cell>
          <cell r="R5">
            <v>0</v>
          </cell>
          <cell r="S5">
            <v>0</v>
          </cell>
          <cell r="T5">
            <v>352295.45</v>
          </cell>
          <cell r="U5">
            <v>0</v>
          </cell>
          <cell r="V5">
            <v>0</v>
          </cell>
        </row>
        <row r="18">
          <cell r="N18">
            <v>1070</v>
          </cell>
          <cell r="O18">
            <v>0</v>
          </cell>
          <cell r="P18">
            <v>0</v>
          </cell>
          <cell r="Q18">
            <v>1000</v>
          </cell>
          <cell r="R18">
            <v>0</v>
          </cell>
          <cell r="S18">
            <v>0</v>
          </cell>
          <cell r="T18">
            <v>1000</v>
          </cell>
          <cell r="U18">
            <v>0</v>
          </cell>
          <cell r="V18">
            <v>0</v>
          </cell>
        </row>
        <row r="20">
          <cell r="N20">
            <v>2434.04</v>
          </cell>
          <cell r="O20">
            <v>4808.1499999999996</v>
          </cell>
          <cell r="P20">
            <v>0</v>
          </cell>
          <cell r="Q20">
            <v>3000</v>
          </cell>
          <cell r="R20">
            <v>501600</v>
          </cell>
          <cell r="S20">
            <v>0</v>
          </cell>
          <cell r="T20">
            <v>1205.01</v>
          </cell>
          <cell r="U20">
            <v>0</v>
          </cell>
          <cell r="V20">
            <v>0</v>
          </cell>
        </row>
        <row r="37">
          <cell r="N37">
            <v>355.2</v>
          </cell>
          <cell r="O37">
            <v>0</v>
          </cell>
          <cell r="P37">
            <v>0</v>
          </cell>
          <cell r="Q37">
            <v>500</v>
          </cell>
          <cell r="R37">
            <v>0</v>
          </cell>
          <cell r="S37">
            <v>0</v>
          </cell>
          <cell r="T37">
            <v>326.39999999999998</v>
          </cell>
          <cell r="U37">
            <v>0</v>
          </cell>
          <cell r="V37">
            <v>0</v>
          </cell>
        </row>
        <row r="41">
          <cell r="N41">
            <v>3614.3199999999997</v>
          </cell>
          <cell r="O41">
            <v>0</v>
          </cell>
          <cell r="P41">
            <v>0</v>
          </cell>
          <cell r="Q41">
            <v>5000</v>
          </cell>
          <cell r="R41">
            <v>0</v>
          </cell>
          <cell r="S41">
            <v>0</v>
          </cell>
          <cell r="T41">
            <v>1400</v>
          </cell>
          <cell r="U41">
            <v>0</v>
          </cell>
          <cell r="V41">
            <v>0</v>
          </cell>
        </row>
        <row r="44">
          <cell r="N44">
            <v>13540.400000000001</v>
          </cell>
          <cell r="O44">
            <v>24845.96</v>
          </cell>
          <cell r="P44">
            <v>0</v>
          </cell>
          <cell r="Q44">
            <v>26860</v>
          </cell>
          <cell r="R44">
            <v>86400</v>
          </cell>
          <cell r="S44">
            <v>0</v>
          </cell>
          <cell r="T44">
            <v>18086.939999999999</v>
          </cell>
          <cell r="U44">
            <v>28552.94</v>
          </cell>
          <cell r="V44">
            <v>0</v>
          </cell>
        </row>
        <row r="63">
          <cell r="N63">
            <v>486.61</v>
          </cell>
          <cell r="O63">
            <v>0</v>
          </cell>
          <cell r="P63">
            <v>0</v>
          </cell>
          <cell r="Q63">
            <v>700</v>
          </cell>
          <cell r="R63">
            <v>0</v>
          </cell>
          <cell r="S63">
            <v>0</v>
          </cell>
          <cell r="T63">
            <v>677.28</v>
          </cell>
          <cell r="U63">
            <v>0</v>
          </cell>
          <cell r="V63">
            <v>0</v>
          </cell>
        </row>
        <row r="65">
          <cell r="N65">
            <v>27003.919999999998</v>
          </cell>
          <cell r="O65">
            <v>0</v>
          </cell>
          <cell r="P65">
            <v>0</v>
          </cell>
          <cell r="Q65">
            <v>26000</v>
          </cell>
          <cell r="R65">
            <v>0</v>
          </cell>
          <cell r="S65">
            <v>0</v>
          </cell>
          <cell r="T65">
            <v>24797.949999999997</v>
          </cell>
          <cell r="U65">
            <v>0</v>
          </cell>
          <cell r="V65">
            <v>0</v>
          </cell>
        </row>
        <row r="69">
          <cell r="N69">
            <v>32276.370000000003</v>
          </cell>
          <cell r="O69">
            <v>24537.8</v>
          </cell>
          <cell r="P69">
            <v>0</v>
          </cell>
          <cell r="Q69">
            <v>32070</v>
          </cell>
          <cell r="R69">
            <v>57519</v>
          </cell>
          <cell r="S69">
            <v>0</v>
          </cell>
          <cell r="T69">
            <v>30820.100000000002</v>
          </cell>
          <cell r="U69">
            <v>57518.229999999996</v>
          </cell>
          <cell r="V69">
            <v>0</v>
          </cell>
        </row>
        <row r="96">
          <cell r="N96">
            <v>0</v>
          </cell>
          <cell r="O96">
            <v>5719.2</v>
          </cell>
          <cell r="P96">
            <v>0</v>
          </cell>
          <cell r="Q96">
            <v>0</v>
          </cell>
          <cell r="R96">
            <v>5000</v>
          </cell>
          <cell r="S96">
            <v>0</v>
          </cell>
          <cell r="T96">
            <v>0</v>
          </cell>
          <cell r="U96">
            <v>5000</v>
          </cell>
          <cell r="V96">
            <v>0</v>
          </cell>
        </row>
      </sheetData>
      <sheetData sheetId="12">
        <row r="5">
          <cell r="N5">
            <v>12870</v>
          </cell>
          <cell r="O5">
            <v>0</v>
          </cell>
          <cell r="P5">
            <v>0</v>
          </cell>
          <cell r="Q5">
            <v>20850</v>
          </cell>
          <cell r="R5">
            <v>0</v>
          </cell>
          <cell r="S5">
            <v>0</v>
          </cell>
          <cell r="T5">
            <v>20850</v>
          </cell>
          <cell r="U5">
            <v>0</v>
          </cell>
          <cell r="V5">
            <v>0</v>
          </cell>
        </row>
        <row r="7">
          <cell r="N7"/>
          <cell r="O7"/>
          <cell r="P7"/>
          <cell r="Q7"/>
          <cell r="R7"/>
          <cell r="S7"/>
          <cell r="T7"/>
          <cell r="U7"/>
          <cell r="V7"/>
        </row>
        <row r="8">
          <cell r="N8">
            <v>2140.3200000000002</v>
          </cell>
          <cell r="O8">
            <v>0</v>
          </cell>
          <cell r="P8">
            <v>0</v>
          </cell>
          <cell r="Q8">
            <v>3524</v>
          </cell>
          <cell r="R8">
            <v>0</v>
          </cell>
          <cell r="S8">
            <v>0</v>
          </cell>
          <cell r="T8">
            <v>1374.56</v>
          </cell>
          <cell r="U8">
            <v>0</v>
          </cell>
          <cell r="V8">
            <v>0</v>
          </cell>
        </row>
        <row r="15">
          <cell r="N15">
            <v>61350</v>
          </cell>
          <cell r="O15">
            <v>0</v>
          </cell>
          <cell r="P15">
            <v>0</v>
          </cell>
          <cell r="Q15">
            <v>218630</v>
          </cell>
          <cell r="R15">
            <v>0</v>
          </cell>
          <cell r="S15">
            <v>0</v>
          </cell>
          <cell r="T15">
            <v>218630</v>
          </cell>
          <cell r="U15">
            <v>0</v>
          </cell>
          <cell r="V15">
            <v>0</v>
          </cell>
        </row>
        <row r="18">
          <cell r="N18">
            <v>57070</v>
          </cell>
          <cell r="O18">
            <v>0</v>
          </cell>
          <cell r="P18">
            <v>0</v>
          </cell>
          <cell r="Q18">
            <v>57710</v>
          </cell>
          <cell r="R18">
            <v>0</v>
          </cell>
          <cell r="S18">
            <v>0</v>
          </cell>
          <cell r="T18">
            <v>57710</v>
          </cell>
          <cell r="U18">
            <v>0</v>
          </cell>
          <cell r="V18">
            <v>0</v>
          </cell>
        </row>
        <row r="20"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2">
          <cell r="N22">
            <v>43430</v>
          </cell>
          <cell r="O22">
            <v>0</v>
          </cell>
          <cell r="P22">
            <v>0</v>
          </cell>
          <cell r="Q22">
            <v>35710</v>
          </cell>
          <cell r="R22">
            <v>0</v>
          </cell>
          <cell r="S22">
            <v>0</v>
          </cell>
          <cell r="T22">
            <v>37402.589999999997</v>
          </cell>
          <cell r="U22">
            <v>0</v>
          </cell>
          <cell r="V22">
            <v>0</v>
          </cell>
        </row>
        <row r="26">
          <cell r="N26">
            <v>32300</v>
          </cell>
          <cell r="O26">
            <v>0</v>
          </cell>
          <cell r="P26">
            <v>0</v>
          </cell>
          <cell r="Q26">
            <v>41200</v>
          </cell>
          <cell r="R26">
            <v>0</v>
          </cell>
          <cell r="S26">
            <v>0</v>
          </cell>
          <cell r="T26">
            <v>36200</v>
          </cell>
          <cell r="U26">
            <v>0</v>
          </cell>
          <cell r="V26">
            <v>0</v>
          </cell>
        </row>
        <row r="29">
          <cell r="N29">
            <v>23460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1">
          <cell r="N31">
            <v>671697.46</v>
          </cell>
          <cell r="O31">
            <v>1334.64</v>
          </cell>
          <cell r="P31">
            <v>0</v>
          </cell>
          <cell r="Q31">
            <v>928344</v>
          </cell>
          <cell r="R31">
            <v>29425</v>
          </cell>
          <cell r="S31">
            <v>0</v>
          </cell>
          <cell r="T31">
            <v>868414.43</v>
          </cell>
          <cell r="U31">
            <v>29254</v>
          </cell>
          <cell r="V31">
            <v>0</v>
          </cell>
        </row>
        <row r="47">
          <cell r="N47">
            <v>90300</v>
          </cell>
          <cell r="O47">
            <v>0</v>
          </cell>
          <cell r="P47">
            <v>0</v>
          </cell>
          <cell r="Q47">
            <v>131170</v>
          </cell>
          <cell r="R47">
            <v>0</v>
          </cell>
          <cell r="S47">
            <v>0</v>
          </cell>
          <cell r="T47">
            <v>131174</v>
          </cell>
          <cell r="U47">
            <v>0</v>
          </cell>
          <cell r="V47">
            <v>0</v>
          </cell>
        </row>
        <row r="52">
          <cell r="N52">
            <v>36040</v>
          </cell>
          <cell r="O52">
            <v>0</v>
          </cell>
          <cell r="P52">
            <v>0</v>
          </cell>
          <cell r="Q52">
            <v>41940</v>
          </cell>
          <cell r="R52">
            <v>0</v>
          </cell>
          <cell r="S52">
            <v>0</v>
          </cell>
          <cell r="T52">
            <v>41940</v>
          </cell>
          <cell r="U52">
            <v>0</v>
          </cell>
          <cell r="V52">
            <v>0</v>
          </cell>
        </row>
        <row r="56">
          <cell r="N56">
            <v>640</v>
          </cell>
          <cell r="O56">
            <v>0</v>
          </cell>
          <cell r="P56">
            <v>0</v>
          </cell>
          <cell r="Q56">
            <v>4300</v>
          </cell>
          <cell r="R56">
            <v>0</v>
          </cell>
          <cell r="S56">
            <v>0</v>
          </cell>
          <cell r="T56">
            <v>4300</v>
          </cell>
          <cell r="U56">
            <v>0</v>
          </cell>
          <cell r="V56">
            <v>0</v>
          </cell>
        </row>
        <row r="58">
          <cell r="N58">
            <v>40190</v>
          </cell>
          <cell r="O58">
            <v>0</v>
          </cell>
          <cell r="P58">
            <v>0</v>
          </cell>
          <cell r="Q58">
            <v>44600</v>
          </cell>
          <cell r="R58">
            <v>0</v>
          </cell>
          <cell r="S58">
            <v>0</v>
          </cell>
          <cell r="T58">
            <v>44600</v>
          </cell>
          <cell r="U58">
            <v>0</v>
          </cell>
          <cell r="V58">
            <v>0</v>
          </cell>
        </row>
        <row r="61">
          <cell r="N61">
            <v>4670</v>
          </cell>
          <cell r="O61">
            <v>0</v>
          </cell>
          <cell r="P61">
            <v>0</v>
          </cell>
          <cell r="Q61">
            <v>5620</v>
          </cell>
          <cell r="R61">
            <v>0</v>
          </cell>
          <cell r="S61">
            <v>0</v>
          </cell>
          <cell r="T61">
            <v>5620</v>
          </cell>
          <cell r="U61">
            <v>0</v>
          </cell>
          <cell r="V61">
            <v>0</v>
          </cell>
        </row>
        <row r="63">
          <cell r="N63">
            <v>510.2</v>
          </cell>
          <cell r="O63">
            <v>0</v>
          </cell>
          <cell r="P63">
            <v>0</v>
          </cell>
          <cell r="Q63">
            <v>13685</v>
          </cell>
          <cell r="R63">
            <v>0</v>
          </cell>
          <cell r="S63">
            <v>0</v>
          </cell>
          <cell r="T63">
            <v>637.87</v>
          </cell>
          <cell r="U63">
            <v>0</v>
          </cell>
          <cell r="V63">
            <v>0</v>
          </cell>
        </row>
        <row r="75">
          <cell r="N75">
            <v>21005.609999999997</v>
          </cell>
          <cell r="O75">
            <v>0</v>
          </cell>
          <cell r="P75">
            <v>0</v>
          </cell>
          <cell r="Q75">
            <v>37076</v>
          </cell>
          <cell r="R75">
            <v>0</v>
          </cell>
          <cell r="S75">
            <v>0</v>
          </cell>
          <cell r="T75">
            <v>30467.989999999998</v>
          </cell>
          <cell r="U75">
            <v>0</v>
          </cell>
          <cell r="V75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2">
          <cell r="N102">
            <v>94332.040000000008</v>
          </cell>
          <cell r="O102">
            <v>0</v>
          </cell>
          <cell r="P102">
            <v>0</v>
          </cell>
          <cell r="Q102">
            <v>100450</v>
          </cell>
          <cell r="R102">
            <v>0</v>
          </cell>
          <cell r="S102">
            <v>0</v>
          </cell>
          <cell r="T102">
            <v>100450</v>
          </cell>
          <cell r="U102">
            <v>0</v>
          </cell>
          <cell r="V102">
            <v>0</v>
          </cell>
        </row>
      </sheetData>
      <sheetData sheetId="13">
        <row r="23">
          <cell r="N23">
            <v>283239.01</v>
          </cell>
          <cell r="O23">
            <v>0</v>
          </cell>
          <cell r="P23">
            <v>62192.93</v>
          </cell>
          <cell r="Q23">
            <v>306918</v>
          </cell>
          <cell r="R23">
            <v>1514000</v>
          </cell>
          <cell r="S23">
            <v>80000</v>
          </cell>
          <cell r="T23">
            <v>291370.23</v>
          </cell>
          <cell r="U23">
            <v>1514000</v>
          </cell>
          <cell r="V23">
            <v>69666.149999999994</v>
          </cell>
        </row>
      </sheetData>
      <sheetData sheetId="14">
        <row r="4">
          <cell r="N4">
            <v>1502684.53</v>
          </cell>
          <cell r="O4">
            <v>0</v>
          </cell>
          <cell r="P4">
            <v>0</v>
          </cell>
          <cell r="Q4">
            <v>1799360</v>
          </cell>
          <cell r="R4">
            <v>49564</v>
          </cell>
          <cell r="S4">
            <v>0</v>
          </cell>
          <cell r="T4">
            <v>1726190.7000000002</v>
          </cell>
          <cell r="U4">
            <v>31500</v>
          </cell>
          <cell r="V4">
            <v>0</v>
          </cell>
        </row>
        <row r="96">
          <cell r="N96"/>
          <cell r="O96"/>
          <cell r="P96"/>
          <cell r="Q96"/>
          <cell r="R96"/>
          <cell r="S96"/>
          <cell r="T96"/>
          <cell r="U96"/>
          <cell r="V96"/>
        </row>
        <row r="97">
          <cell r="N97">
            <v>53360.05</v>
          </cell>
          <cell r="O97">
            <v>0</v>
          </cell>
          <cell r="P97">
            <v>3253989.74</v>
          </cell>
          <cell r="Q97">
            <v>42160</v>
          </cell>
          <cell r="R97">
            <v>0</v>
          </cell>
          <cell r="S97">
            <v>226300</v>
          </cell>
          <cell r="T97">
            <v>19703.14</v>
          </cell>
          <cell r="U97">
            <v>0</v>
          </cell>
          <cell r="V97">
            <v>226021.34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8" activeCellId="1" sqref="C26 C38"/>
    </sheetView>
  </sheetViews>
  <sheetFormatPr defaultRowHeight="15" x14ac:dyDescent="0.25"/>
  <cols>
    <col min="1" max="1" width="67.85546875" style="399" customWidth="1"/>
    <col min="2" max="2" width="24.28515625" style="399" customWidth="1"/>
    <col min="3" max="3" width="24.28515625" style="530" customWidth="1"/>
    <col min="4" max="4" width="24.28515625" style="399" customWidth="1"/>
    <col min="5" max="5" width="24.28515625" style="591" customWidth="1"/>
    <col min="6" max="7" width="12.42578125" style="44" bestFit="1" customWidth="1"/>
    <col min="8" max="8" width="13.5703125" style="44" bestFit="1" customWidth="1"/>
    <col min="9" max="16384" width="9.140625" style="44"/>
  </cols>
  <sheetData>
    <row r="1" spans="1:8" ht="66" customHeight="1" thickBot="1" x14ac:dyDescent="0.45">
      <c r="A1" s="849" t="s">
        <v>787</v>
      </c>
      <c r="B1" s="849"/>
      <c r="C1" s="849"/>
      <c r="D1" s="849"/>
      <c r="E1" s="849"/>
    </row>
    <row r="2" spans="1:8" ht="60" customHeight="1" thickBot="1" x14ac:dyDescent="0.35">
      <c r="A2" s="380" t="s">
        <v>412</v>
      </c>
      <c r="B2" s="292" t="s">
        <v>526</v>
      </c>
      <c r="C2" s="512" t="s">
        <v>651</v>
      </c>
      <c r="D2" s="292" t="s">
        <v>556</v>
      </c>
      <c r="E2" s="512" t="s">
        <v>652</v>
      </c>
    </row>
    <row r="3" spans="1:8" ht="18.75" thickBot="1" x14ac:dyDescent="0.3">
      <c r="A3" s="381" t="s">
        <v>414</v>
      </c>
      <c r="B3" s="382">
        <f t="shared" ref="B3" si="0">B4+B16</f>
        <v>14015751.489999998</v>
      </c>
      <c r="C3" s="513">
        <f>C4+C16</f>
        <v>15086193.5</v>
      </c>
      <c r="D3" s="382">
        <f>D4+D16</f>
        <v>17371964</v>
      </c>
      <c r="E3" s="513">
        <f>E4+E16</f>
        <v>16902365.120000001</v>
      </c>
      <c r="F3" s="586"/>
    </row>
    <row r="4" spans="1:8" ht="18" x14ac:dyDescent="0.25">
      <c r="A4" s="383" t="s">
        <v>5</v>
      </c>
      <c r="B4" s="384">
        <f t="shared" ref="B4" si="1">B5+B7+B9</f>
        <v>8500097.3599999994</v>
      </c>
      <c r="C4" s="514">
        <f>C5+C7+C9</f>
        <v>8990184.5999999996</v>
      </c>
      <c r="D4" s="384">
        <f>D5+D7+D9</f>
        <v>9740000</v>
      </c>
      <c r="E4" s="514">
        <f>E5+E7+E9</f>
        <v>9879465.6500000004</v>
      </c>
      <c r="F4" s="586"/>
      <c r="G4" s="844"/>
    </row>
    <row r="5" spans="1:8" ht="15.75" x14ac:dyDescent="0.25">
      <c r="A5" s="385" t="s">
        <v>6</v>
      </c>
      <c r="B5" s="318">
        <f t="shared" ref="B5" si="2">SUM(B6)</f>
        <v>6844677.2800000003</v>
      </c>
      <c r="C5" s="515">
        <f>SUM(C6)</f>
        <v>7298850.5099999998</v>
      </c>
      <c r="D5" s="318">
        <f>SUM(D6)</f>
        <v>8000000</v>
      </c>
      <c r="E5" s="515">
        <f>SUM(E6)</f>
        <v>8078502.5700000003</v>
      </c>
      <c r="F5" s="586"/>
    </row>
    <row r="6" spans="1:8" ht="15.75" x14ac:dyDescent="0.25">
      <c r="A6" s="386" t="s">
        <v>7</v>
      </c>
      <c r="B6" s="387">
        <v>6844677.2800000003</v>
      </c>
      <c r="C6" s="516">
        <v>7298850.5099999998</v>
      </c>
      <c r="D6" s="387">
        <v>8000000</v>
      </c>
      <c r="E6" s="521">
        <v>8078502.5700000003</v>
      </c>
      <c r="F6" s="586"/>
      <c r="G6" s="843"/>
    </row>
    <row r="7" spans="1:8" ht="15.75" x14ac:dyDescent="0.25">
      <c r="A7" s="388" t="s">
        <v>8</v>
      </c>
      <c r="B7" s="318">
        <f t="shared" ref="B7" si="3">SUM(B8)</f>
        <v>878708.25</v>
      </c>
      <c r="C7" s="515">
        <f>SUM(C8)</f>
        <v>879256.41</v>
      </c>
      <c r="D7" s="318">
        <f>SUM(D8)</f>
        <v>890000</v>
      </c>
      <c r="E7" s="515">
        <f>SUM(E8)</f>
        <v>928463.99</v>
      </c>
      <c r="F7" s="586"/>
      <c r="G7" s="43"/>
    </row>
    <row r="8" spans="1:8" ht="15.75" x14ac:dyDescent="0.25">
      <c r="A8" s="389" t="s">
        <v>9</v>
      </c>
      <c r="B8" s="387">
        <v>878708.25</v>
      </c>
      <c r="C8" s="516">
        <v>879256.41</v>
      </c>
      <c r="D8" s="387">
        <v>890000</v>
      </c>
      <c r="E8" s="521">
        <v>928463.99</v>
      </c>
      <c r="F8" s="586"/>
      <c r="G8" s="43"/>
    </row>
    <row r="9" spans="1:8" ht="15.75" x14ac:dyDescent="0.25">
      <c r="A9" s="388" t="s">
        <v>10</v>
      </c>
      <c r="B9" s="318">
        <f t="shared" ref="B9:C9" si="4">SUM(B10:B15)</f>
        <v>776711.83</v>
      </c>
      <c r="C9" s="515">
        <f t="shared" si="4"/>
        <v>812077.68</v>
      </c>
      <c r="D9" s="318">
        <f t="shared" ref="D9:E9" si="5">SUM(D10:D15)</f>
        <v>850000</v>
      </c>
      <c r="E9" s="515">
        <f t="shared" si="5"/>
        <v>872499.09</v>
      </c>
      <c r="F9" s="586"/>
      <c r="G9" s="43"/>
    </row>
    <row r="10" spans="1:8" ht="15.75" x14ac:dyDescent="0.25">
      <c r="A10" s="390" t="s">
        <v>11</v>
      </c>
      <c r="B10" s="426">
        <v>18658.04</v>
      </c>
      <c r="C10" s="517">
        <v>18560.419999999998</v>
      </c>
      <c r="D10" s="426">
        <v>20000</v>
      </c>
      <c r="E10" s="588">
        <v>18347.740000000002</v>
      </c>
      <c r="F10" s="586"/>
      <c r="G10" s="43"/>
    </row>
    <row r="11" spans="1:8" ht="15.75" x14ac:dyDescent="0.25">
      <c r="A11" s="390" t="s">
        <v>460</v>
      </c>
      <c r="B11" s="426">
        <v>13884.6</v>
      </c>
      <c r="C11" s="517">
        <v>22784.48</v>
      </c>
      <c r="D11" s="426">
        <v>25000</v>
      </c>
      <c r="E11" s="588">
        <v>29687.599999999999</v>
      </c>
      <c r="F11" s="586"/>
      <c r="G11" s="843"/>
      <c r="H11" s="65"/>
    </row>
    <row r="12" spans="1:8" ht="15.75" x14ac:dyDescent="0.25">
      <c r="A12" s="390" t="s">
        <v>12</v>
      </c>
      <c r="B12" s="426">
        <v>53539.72</v>
      </c>
      <c r="C12" s="517">
        <v>82620.33</v>
      </c>
      <c r="D12" s="426">
        <v>110000</v>
      </c>
      <c r="E12" s="588">
        <v>114087.92</v>
      </c>
      <c r="F12" s="586"/>
      <c r="G12" s="43"/>
    </row>
    <row r="13" spans="1:8" ht="15.75" x14ac:dyDescent="0.25">
      <c r="A13" s="390" t="s">
        <v>13</v>
      </c>
      <c r="B13" s="426">
        <v>23909.42</v>
      </c>
      <c r="C13" s="517">
        <v>13041.62</v>
      </c>
      <c r="D13" s="426">
        <v>15000</v>
      </c>
      <c r="E13" s="588">
        <v>31602.86</v>
      </c>
      <c r="F13" s="586"/>
      <c r="G13" s="43"/>
    </row>
    <row r="14" spans="1:8" ht="15.75" x14ac:dyDescent="0.25">
      <c r="A14" s="390" t="s">
        <v>14</v>
      </c>
      <c r="B14" s="426">
        <v>521356.05</v>
      </c>
      <c r="C14" s="517">
        <v>523908.33</v>
      </c>
      <c r="D14" s="426">
        <v>530000</v>
      </c>
      <c r="E14" s="588">
        <v>518724.35</v>
      </c>
      <c r="F14" s="586"/>
      <c r="G14" s="43"/>
    </row>
    <row r="15" spans="1:8" ht="15.75" x14ac:dyDescent="0.25">
      <c r="A15" s="390" t="s">
        <v>15</v>
      </c>
      <c r="B15" s="427">
        <v>145364</v>
      </c>
      <c r="C15" s="518">
        <v>151162.5</v>
      </c>
      <c r="D15" s="427">
        <v>150000</v>
      </c>
      <c r="E15" s="589">
        <v>160048.62</v>
      </c>
      <c r="F15" s="586"/>
      <c r="G15" s="43"/>
    </row>
    <row r="16" spans="1:8" s="467" customFormat="1" ht="18.75" x14ac:dyDescent="0.3">
      <c r="A16" s="392" t="s">
        <v>16</v>
      </c>
      <c r="B16" s="468">
        <f t="shared" ref="B16:C16" si="6">B17+B29+B54+B62</f>
        <v>5515654.129999999</v>
      </c>
      <c r="C16" s="519">
        <f t="shared" si="6"/>
        <v>6096008.9000000004</v>
      </c>
      <c r="D16" s="468">
        <f t="shared" ref="D16" si="7">D17+D29+D54+D62</f>
        <v>7631964</v>
      </c>
      <c r="E16" s="519">
        <f t="shared" ref="E16" si="8">E17+E29+E54+E62</f>
        <v>7022899.4699999997</v>
      </c>
      <c r="F16" s="586"/>
      <c r="G16" s="584"/>
    </row>
    <row r="17" spans="1:9" ht="15.75" x14ac:dyDescent="0.25">
      <c r="A17" s="385" t="s">
        <v>17</v>
      </c>
      <c r="B17" s="318">
        <f t="shared" ref="B17:C17" si="9">SUM(B18:B28)</f>
        <v>602845.83000000007</v>
      </c>
      <c r="C17" s="515">
        <f t="shared" si="9"/>
        <v>583669.77000000014</v>
      </c>
      <c r="D17" s="318">
        <f t="shared" ref="D17:E17" si="10">SUM(D18:D28)</f>
        <v>604660</v>
      </c>
      <c r="E17" s="515">
        <f t="shared" si="10"/>
        <v>574057.53999999992</v>
      </c>
      <c r="F17" s="586"/>
      <c r="G17" s="843"/>
      <c r="H17" s="586"/>
      <c r="I17" s="844"/>
    </row>
    <row r="18" spans="1:9" ht="15.75" x14ac:dyDescent="0.25">
      <c r="A18" s="386" t="s">
        <v>18</v>
      </c>
      <c r="B18" s="391">
        <v>62943.68</v>
      </c>
      <c r="C18" s="520">
        <v>59700.07</v>
      </c>
      <c r="D18" s="391">
        <v>60000</v>
      </c>
      <c r="E18" s="522">
        <v>64760.52</v>
      </c>
      <c r="F18" s="586"/>
      <c r="G18" s="43"/>
      <c r="H18" s="586"/>
    </row>
    <row r="19" spans="1:9" ht="15.75" x14ac:dyDescent="0.25">
      <c r="A19" s="386" t="s">
        <v>423</v>
      </c>
      <c r="B19" s="391">
        <v>17082.5</v>
      </c>
      <c r="C19" s="520">
        <v>17970.5</v>
      </c>
      <c r="D19" s="391">
        <v>15000</v>
      </c>
      <c r="E19" s="522">
        <v>18366</v>
      </c>
      <c r="F19" s="586"/>
      <c r="G19" s="43"/>
    </row>
    <row r="20" spans="1:9" ht="15.75" x14ac:dyDescent="0.25">
      <c r="A20" s="386" t="s">
        <v>19</v>
      </c>
      <c r="B20" s="391">
        <v>2781.56</v>
      </c>
      <c r="C20" s="520">
        <v>1645.04</v>
      </c>
      <c r="D20" s="391">
        <v>2000</v>
      </c>
      <c r="E20" s="522">
        <v>1551.75</v>
      </c>
      <c r="F20" s="586"/>
      <c r="G20" s="43"/>
    </row>
    <row r="21" spans="1:9" ht="15.75" x14ac:dyDescent="0.25">
      <c r="A21" s="386" t="s">
        <v>20</v>
      </c>
      <c r="B21" s="391">
        <v>282</v>
      </c>
      <c r="C21" s="520">
        <v>352.32</v>
      </c>
      <c r="D21" s="391">
        <v>0</v>
      </c>
      <c r="E21" s="522">
        <v>317.25</v>
      </c>
      <c r="F21" s="586"/>
      <c r="G21" s="43"/>
    </row>
    <row r="22" spans="1:9" ht="15.75" x14ac:dyDescent="0.25">
      <c r="A22" s="386" t="s">
        <v>788</v>
      </c>
      <c r="B22" s="391">
        <v>376803.07</v>
      </c>
      <c r="C22" s="520">
        <v>383924.33</v>
      </c>
      <c r="D22" s="391">
        <v>400000</v>
      </c>
      <c r="E22" s="522">
        <v>379709.69</v>
      </c>
      <c r="F22" s="586"/>
      <c r="G22" s="583"/>
    </row>
    <row r="23" spans="1:9" s="432" customFormat="1" ht="15.75" x14ac:dyDescent="0.25">
      <c r="A23" s="386" t="s">
        <v>22</v>
      </c>
      <c r="B23" s="391">
        <v>28918.25</v>
      </c>
      <c r="C23" s="520">
        <v>27250.2</v>
      </c>
      <c r="D23" s="391">
        <v>28000</v>
      </c>
      <c r="E23" s="522">
        <v>28166.06</v>
      </c>
      <c r="F23" s="586"/>
      <c r="G23" s="585"/>
    </row>
    <row r="24" spans="1:9" ht="15.75" x14ac:dyDescent="0.25">
      <c r="A24" s="386" t="s">
        <v>23</v>
      </c>
      <c r="B24" s="391">
        <v>32065.96</v>
      </c>
      <c r="C24" s="520">
        <v>18205.18</v>
      </c>
      <c r="D24" s="391">
        <v>20000</v>
      </c>
      <c r="E24" s="522">
        <v>9960.76</v>
      </c>
      <c r="F24" s="586"/>
    </row>
    <row r="25" spans="1:9" ht="15.75" x14ac:dyDescent="0.25">
      <c r="A25" s="386" t="s">
        <v>24</v>
      </c>
      <c r="B25" s="391">
        <v>5331.96</v>
      </c>
      <c r="C25" s="520">
        <v>5331.96</v>
      </c>
      <c r="D25" s="391">
        <v>5400</v>
      </c>
      <c r="E25" s="522">
        <v>5332.2</v>
      </c>
      <c r="F25" s="586"/>
    </row>
    <row r="26" spans="1:9" ht="15.75" x14ac:dyDescent="0.25">
      <c r="A26" s="386" t="s">
        <v>25</v>
      </c>
      <c r="B26" s="391">
        <v>17077.8</v>
      </c>
      <c r="C26" s="520">
        <v>23619.49</v>
      </c>
      <c r="D26" s="391">
        <v>25000</v>
      </c>
      <c r="E26" s="522">
        <v>21779.7</v>
      </c>
      <c r="F26" s="586"/>
    </row>
    <row r="27" spans="1:9" ht="15.75" x14ac:dyDescent="0.25">
      <c r="A27" s="386" t="s">
        <v>26</v>
      </c>
      <c r="B27" s="391">
        <v>27214.55</v>
      </c>
      <c r="C27" s="520">
        <v>30250.799999999999</v>
      </c>
      <c r="D27" s="391">
        <v>30000</v>
      </c>
      <c r="E27" s="522">
        <v>32494.42</v>
      </c>
      <c r="F27" s="586"/>
    </row>
    <row r="28" spans="1:9" s="432" customFormat="1" ht="15.75" x14ac:dyDescent="0.25">
      <c r="A28" s="389" t="s">
        <v>28</v>
      </c>
      <c r="B28" s="393">
        <v>32344.5</v>
      </c>
      <c r="C28" s="521">
        <v>15419.88</v>
      </c>
      <c r="D28" s="393">
        <v>19260</v>
      </c>
      <c r="E28" s="521">
        <v>11619.19</v>
      </c>
      <c r="F28" s="586"/>
    </row>
    <row r="29" spans="1:9" s="431" customFormat="1" ht="15.75" x14ac:dyDescent="0.25">
      <c r="A29" s="385" t="s">
        <v>29</v>
      </c>
      <c r="B29" s="318">
        <f t="shared" ref="B29" si="11">SUM(B30:B53)</f>
        <v>956040.27</v>
      </c>
      <c r="C29" s="515">
        <f>SUM(C30:C53)</f>
        <v>972397.33999999985</v>
      </c>
      <c r="D29" s="318">
        <f>SUM(D30:D53)</f>
        <v>1858090</v>
      </c>
      <c r="E29" s="515">
        <f>SUM(E30:E53)</f>
        <v>1670319.59</v>
      </c>
      <c r="F29" s="586"/>
    </row>
    <row r="30" spans="1:9" ht="15.75" x14ac:dyDescent="0.25">
      <c r="A30" s="386" t="s">
        <v>30</v>
      </c>
      <c r="B30" s="391">
        <v>100800</v>
      </c>
      <c r="C30" s="520">
        <v>52510</v>
      </c>
      <c r="D30" s="391">
        <v>55000</v>
      </c>
      <c r="E30" s="522">
        <v>1200</v>
      </c>
      <c r="F30" s="586"/>
      <c r="G30" s="583"/>
    </row>
    <row r="31" spans="1:9" ht="15.75" x14ac:dyDescent="0.25">
      <c r="A31" s="386" t="s">
        <v>31</v>
      </c>
      <c r="B31" s="319">
        <v>27082</v>
      </c>
      <c r="C31" s="522">
        <v>25825.5</v>
      </c>
      <c r="D31" s="319">
        <v>28000</v>
      </c>
      <c r="E31" s="522">
        <v>19704.52</v>
      </c>
      <c r="F31" s="586"/>
      <c r="G31" s="582"/>
    </row>
    <row r="32" spans="1:9" ht="15.75" x14ac:dyDescent="0.25">
      <c r="A32" s="386" t="s">
        <v>32</v>
      </c>
      <c r="B32" s="391">
        <v>6057.5</v>
      </c>
      <c r="C32" s="520">
        <v>6435.5</v>
      </c>
      <c r="D32" s="391">
        <v>7000</v>
      </c>
      <c r="E32" s="522">
        <v>7110</v>
      </c>
      <c r="F32" s="586"/>
      <c r="G32" s="43"/>
    </row>
    <row r="33" spans="1:7" ht="15.75" x14ac:dyDescent="0.25">
      <c r="A33" s="386" t="s">
        <v>33</v>
      </c>
      <c r="B33" s="391">
        <v>1330</v>
      </c>
      <c r="C33" s="520">
        <v>1600</v>
      </c>
      <c r="D33" s="391">
        <v>1500</v>
      </c>
      <c r="E33" s="522">
        <v>1415</v>
      </c>
      <c r="F33" s="586"/>
      <c r="G33" s="43"/>
    </row>
    <row r="34" spans="1:7" ht="15.75" x14ac:dyDescent="0.25">
      <c r="A34" s="386" t="s">
        <v>34</v>
      </c>
      <c r="B34" s="391">
        <v>542.5</v>
      </c>
      <c r="C34" s="520">
        <v>696</v>
      </c>
      <c r="D34" s="391">
        <v>1000</v>
      </c>
      <c r="E34" s="522">
        <v>521</v>
      </c>
      <c r="F34" s="586"/>
      <c r="G34" s="43"/>
    </row>
    <row r="35" spans="1:7" ht="15.75" x14ac:dyDescent="0.25">
      <c r="A35" s="386" t="s">
        <v>35</v>
      </c>
      <c r="B35" s="391">
        <v>25707</v>
      </c>
      <c r="C35" s="520">
        <v>25771.5</v>
      </c>
      <c r="D35" s="391">
        <v>26000</v>
      </c>
      <c r="E35" s="522">
        <v>29500</v>
      </c>
      <c r="F35" s="586"/>
      <c r="G35" s="43"/>
    </row>
    <row r="36" spans="1:7" ht="15.75" x14ac:dyDescent="0.25">
      <c r="A36" s="386" t="s">
        <v>36</v>
      </c>
      <c r="B36" s="391">
        <v>67850.16</v>
      </c>
      <c r="C36" s="520">
        <v>12162.98</v>
      </c>
      <c r="D36" s="391">
        <v>10000</v>
      </c>
      <c r="E36" s="522">
        <v>14172.71</v>
      </c>
      <c r="F36" s="586"/>
    </row>
    <row r="37" spans="1:7" ht="15.75" x14ac:dyDescent="0.25">
      <c r="A37" s="386" t="s">
        <v>455</v>
      </c>
      <c r="B37" s="391">
        <v>5922.13</v>
      </c>
      <c r="C37" s="520">
        <v>1427.5</v>
      </c>
      <c r="D37" s="391">
        <v>2000</v>
      </c>
      <c r="E37" s="522">
        <v>12260.09</v>
      </c>
      <c r="F37" s="586"/>
    </row>
    <row r="38" spans="1:7" ht="15.75" x14ac:dyDescent="0.25">
      <c r="A38" s="386" t="s">
        <v>38</v>
      </c>
      <c r="B38" s="319">
        <v>12263.44</v>
      </c>
      <c r="C38" s="522">
        <v>13117.89</v>
      </c>
      <c r="D38" s="319">
        <v>15000</v>
      </c>
      <c r="E38" s="522">
        <v>7148.81</v>
      </c>
      <c r="F38" s="586"/>
    </row>
    <row r="39" spans="1:7" ht="15.75" x14ac:dyDescent="0.25">
      <c r="A39" s="386" t="s">
        <v>39</v>
      </c>
      <c r="B39" s="319">
        <v>2665.36</v>
      </c>
      <c r="C39" s="522">
        <v>6532.55</v>
      </c>
      <c r="D39" s="319">
        <v>5000</v>
      </c>
      <c r="E39" s="522">
        <v>20014.3</v>
      </c>
      <c r="F39" s="586"/>
    </row>
    <row r="40" spans="1:7" ht="15.75" x14ac:dyDescent="0.25">
      <c r="A40" s="394" t="s">
        <v>41</v>
      </c>
      <c r="B40" s="319">
        <v>17276.22</v>
      </c>
      <c r="C40" s="522">
        <v>16602.66</v>
      </c>
      <c r="D40" s="319">
        <v>18000</v>
      </c>
      <c r="E40" s="522">
        <v>16331.22</v>
      </c>
      <c r="F40" s="586"/>
    </row>
    <row r="41" spans="1:7" ht="15.75" x14ac:dyDescent="0.25">
      <c r="A41" s="386" t="s">
        <v>42</v>
      </c>
      <c r="B41" s="319">
        <v>31204.85</v>
      </c>
      <c r="C41" s="522">
        <v>8278.08</v>
      </c>
      <c r="D41" s="319">
        <v>0</v>
      </c>
      <c r="E41" s="522"/>
      <c r="F41" s="586"/>
    </row>
    <row r="42" spans="1:7" ht="15.75" x14ac:dyDescent="0.25">
      <c r="A42" s="386" t="s">
        <v>44</v>
      </c>
      <c r="B42" s="391">
        <v>79182.509999999995</v>
      </c>
      <c r="C42" s="520">
        <v>42115.66</v>
      </c>
      <c r="D42" s="391">
        <v>73000</v>
      </c>
      <c r="E42" s="522">
        <v>75222.92</v>
      </c>
      <c r="F42" s="586"/>
    </row>
    <row r="43" spans="1:7" ht="15.75" x14ac:dyDescent="0.25">
      <c r="A43" s="386" t="s">
        <v>45</v>
      </c>
      <c r="B43" s="391">
        <v>51238</v>
      </c>
      <c r="C43" s="520">
        <v>72478.5</v>
      </c>
      <c r="D43" s="391">
        <v>67000</v>
      </c>
      <c r="E43" s="522">
        <v>53827.5</v>
      </c>
      <c r="F43" s="586"/>
    </row>
    <row r="44" spans="1:7" ht="15.75" x14ac:dyDescent="0.25">
      <c r="A44" s="386" t="s">
        <v>546</v>
      </c>
      <c r="B44" s="391">
        <v>1959.22</v>
      </c>
      <c r="C44" s="520">
        <v>3091.15</v>
      </c>
      <c r="D44" s="391">
        <v>2000</v>
      </c>
      <c r="E44" s="522">
        <v>3826.92</v>
      </c>
      <c r="F44" s="586"/>
    </row>
    <row r="45" spans="1:7" ht="15.75" x14ac:dyDescent="0.25">
      <c r="A45" s="386" t="s">
        <v>459</v>
      </c>
      <c r="B45" s="391">
        <v>4761</v>
      </c>
      <c r="C45" s="520">
        <v>3275</v>
      </c>
      <c r="D45" s="391">
        <v>5000</v>
      </c>
      <c r="E45" s="522">
        <v>4648</v>
      </c>
      <c r="F45" s="586"/>
    </row>
    <row r="46" spans="1:7" ht="15.75" x14ac:dyDescent="0.25">
      <c r="A46" s="386" t="s">
        <v>51</v>
      </c>
      <c r="B46" s="391">
        <v>13949</v>
      </c>
      <c r="C46" s="520">
        <v>13095.6</v>
      </c>
      <c r="D46" s="391">
        <v>15000</v>
      </c>
      <c r="E46" s="522">
        <v>14893</v>
      </c>
      <c r="F46" s="586"/>
    </row>
    <row r="47" spans="1:7" ht="15.75" x14ac:dyDescent="0.25">
      <c r="A47" s="386" t="s">
        <v>461</v>
      </c>
      <c r="B47" s="319">
        <v>128593.1</v>
      </c>
      <c r="C47" s="522">
        <v>287082.09999999998</v>
      </c>
      <c r="D47" s="319">
        <v>287000</v>
      </c>
      <c r="E47" s="522">
        <v>282214.51</v>
      </c>
      <c r="F47" s="586"/>
    </row>
    <row r="48" spans="1:7" ht="15.75" x14ac:dyDescent="0.25">
      <c r="A48" s="386" t="s">
        <v>674</v>
      </c>
      <c r="B48" s="319"/>
      <c r="C48" s="522"/>
      <c r="D48" s="319">
        <v>240000</v>
      </c>
      <c r="E48" s="522">
        <v>195595.37</v>
      </c>
      <c r="F48" s="586"/>
    </row>
    <row r="49" spans="1:7" ht="15.75" x14ac:dyDescent="0.25">
      <c r="A49" s="386" t="s">
        <v>53</v>
      </c>
      <c r="B49" s="319"/>
      <c r="C49" s="522"/>
      <c r="D49" s="319"/>
      <c r="E49" s="522"/>
      <c r="F49" s="586"/>
    </row>
    <row r="50" spans="1:7" ht="15.75" x14ac:dyDescent="0.25">
      <c r="A50" s="386" t="s">
        <v>466</v>
      </c>
      <c r="B50" s="319">
        <v>10688.65</v>
      </c>
      <c r="C50" s="522">
        <v>12325.99</v>
      </c>
      <c r="D50" s="319">
        <v>12000</v>
      </c>
      <c r="E50" s="522">
        <v>8772.82</v>
      </c>
      <c r="F50" s="586"/>
    </row>
    <row r="51" spans="1:7" ht="15.75" x14ac:dyDescent="0.25">
      <c r="A51" s="386" t="s">
        <v>506</v>
      </c>
      <c r="B51" s="319">
        <v>366967.63</v>
      </c>
      <c r="C51" s="522">
        <v>367162.18</v>
      </c>
      <c r="D51" s="319">
        <v>469590</v>
      </c>
      <c r="E51" s="522">
        <v>442894.84</v>
      </c>
      <c r="F51" s="586"/>
    </row>
    <row r="52" spans="1:7" ht="15.75" x14ac:dyDescent="0.25">
      <c r="A52" s="386" t="s">
        <v>574</v>
      </c>
      <c r="B52" s="319"/>
      <c r="C52" s="522"/>
      <c r="D52" s="319">
        <v>518000</v>
      </c>
      <c r="E52" s="522">
        <v>458238.46</v>
      </c>
      <c r="F52" s="586"/>
    </row>
    <row r="53" spans="1:7" ht="15.75" x14ac:dyDescent="0.25">
      <c r="A53" s="386" t="s">
        <v>55</v>
      </c>
      <c r="B53" s="393"/>
      <c r="C53" s="521">
        <v>811</v>
      </c>
      <c r="D53" s="393">
        <v>1000</v>
      </c>
      <c r="E53" s="521">
        <v>807.6</v>
      </c>
      <c r="F53" s="586"/>
    </row>
    <row r="54" spans="1:7" ht="15.75" x14ac:dyDescent="0.25">
      <c r="A54" s="388" t="s">
        <v>56</v>
      </c>
      <c r="B54" s="318">
        <f t="shared" ref="B54:C54" si="12">SUM(B55:B61)</f>
        <v>170243.06000000003</v>
      </c>
      <c r="C54" s="515">
        <f t="shared" si="12"/>
        <v>248286.1</v>
      </c>
      <c r="D54" s="318">
        <f t="shared" ref="D54" si="13">SUM(D55:D61)</f>
        <v>207850</v>
      </c>
      <c r="E54" s="515">
        <f t="shared" ref="E54" si="14">SUM(E55:E61)</f>
        <v>216699.05</v>
      </c>
      <c r="F54" s="586"/>
    </row>
    <row r="55" spans="1:7" ht="15.75" x14ac:dyDescent="0.25">
      <c r="A55" s="386" t="s">
        <v>465</v>
      </c>
      <c r="B55" s="319">
        <v>140003.22</v>
      </c>
      <c r="C55" s="522">
        <v>152185.95000000001</v>
      </c>
      <c r="D55" s="319">
        <v>149390</v>
      </c>
      <c r="E55" s="522">
        <v>158018.9</v>
      </c>
      <c r="F55" s="586"/>
    </row>
    <row r="56" spans="1:7" ht="15.75" x14ac:dyDescent="0.25">
      <c r="A56" s="386" t="s">
        <v>456</v>
      </c>
      <c r="B56" s="319">
        <v>8008.97</v>
      </c>
      <c r="C56" s="522">
        <v>15249.42</v>
      </c>
      <c r="D56" s="319">
        <v>21000</v>
      </c>
      <c r="E56" s="522">
        <v>24202.33</v>
      </c>
      <c r="F56" s="586"/>
      <c r="G56" s="582"/>
    </row>
    <row r="57" spans="1:7" ht="15.75" x14ac:dyDescent="0.25">
      <c r="A57" s="386" t="s">
        <v>550</v>
      </c>
      <c r="B57" s="319">
        <v>2061.63</v>
      </c>
      <c r="C57" s="522">
        <v>13776.63</v>
      </c>
      <c r="D57" s="319">
        <v>10610</v>
      </c>
      <c r="E57" s="522">
        <v>10075.66</v>
      </c>
      <c r="F57" s="586"/>
    </row>
    <row r="58" spans="1:7" ht="15.75" x14ac:dyDescent="0.25">
      <c r="A58" s="386" t="s">
        <v>58</v>
      </c>
      <c r="B58" s="319">
        <v>3730.69</v>
      </c>
      <c r="C58" s="522">
        <v>1211.0999999999999</v>
      </c>
      <c r="D58" s="319">
        <v>2000</v>
      </c>
      <c r="E58" s="522">
        <v>2183.0100000000002</v>
      </c>
      <c r="F58" s="586"/>
    </row>
    <row r="59" spans="1:7" ht="15.75" x14ac:dyDescent="0.25">
      <c r="A59" s="386" t="s">
        <v>474</v>
      </c>
      <c r="B59" s="319">
        <v>16116.92</v>
      </c>
      <c r="C59" s="522">
        <v>65575.92</v>
      </c>
      <c r="D59" s="319">
        <v>24500</v>
      </c>
      <c r="E59" s="522">
        <v>21879.32</v>
      </c>
      <c r="F59" s="586"/>
    </row>
    <row r="60" spans="1:7" ht="15.75" x14ac:dyDescent="0.25">
      <c r="A60" s="386" t="s">
        <v>62</v>
      </c>
      <c r="B60" s="319">
        <v>321.63</v>
      </c>
      <c r="C60" s="522">
        <v>287.08</v>
      </c>
      <c r="D60" s="319">
        <v>350</v>
      </c>
      <c r="E60" s="522">
        <v>339.83</v>
      </c>
      <c r="F60" s="586"/>
    </row>
    <row r="61" spans="1:7" s="432" customFormat="1" ht="15.75" x14ac:dyDescent="0.25">
      <c r="A61" s="395" t="s">
        <v>422</v>
      </c>
      <c r="B61" s="319"/>
      <c r="C61" s="522"/>
      <c r="D61" s="319"/>
      <c r="E61" s="522"/>
      <c r="F61" s="586"/>
    </row>
    <row r="62" spans="1:7" s="431" customFormat="1" ht="15.75" x14ac:dyDescent="0.25">
      <c r="A62" s="429" t="s">
        <v>66</v>
      </c>
      <c r="B62" s="430">
        <f t="shared" ref="B62:E62" si="15">SUM(B63:B127)</f>
        <v>3786524.9699999993</v>
      </c>
      <c r="C62" s="523">
        <f t="shared" si="15"/>
        <v>4291655.6900000004</v>
      </c>
      <c r="D62" s="430">
        <f t="shared" si="15"/>
        <v>4961364</v>
      </c>
      <c r="E62" s="523">
        <f t="shared" si="15"/>
        <v>4561823.29</v>
      </c>
      <c r="F62" s="586"/>
      <c r="G62" s="845"/>
    </row>
    <row r="63" spans="1:7" ht="15.75" x14ac:dyDescent="0.25">
      <c r="A63" s="386" t="s">
        <v>68</v>
      </c>
      <c r="B63" s="319">
        <v>11225.27</v>
      </c>
      <c r="C63" s="522">
        <v>17138.689999999999</v>
      </c>
      <c r="D63" s="319">
        <v>24000</v>
      </c>
      <c r="E63" s="522">
        <v>23519.75</v>
      </c>
      <c r="F63" s="586"/>
    </row>
    <row r="64" spans="1:7" ht="15.75" x14ac:dyDescent="0.25">
      <c r="A64" s="386" t="s">
        <v>684</v>
      </c>
      <c r="B64" s="319"/>
      <c r="C64" s="522">
        <v>4050</v>
      </c>
      <c r="D64" s="319">
        <v>1000</v>
      </c>
      <c r="E64" s="522">
        <v>1000</v>
      </c>
      <c r="F64" s="586"/>
    </row>
    <row r="65" spans="1:6" ht="15.75" x14ac:dyDescent="0.25">
      <c r="A65" s="386" t="s">
        <v>424</v>
      </c>
      <c r="B65" s="319">
        <v>2000</v>
      </c>
      <c r="C65" s="522"/>
      <c r="D65" s="319">
        <v>2000</v>
      </c>
      <c r="E65" s="522">
        <v>2000</v>
      </c>
      <c r="F65" s="586"/>
    </row>
    <row r="66" spans="1:6" ht="15.75" x14ac:dyDescent="0.25">
      <c r="A66" s="386" t="s">
        <v>505</v>
      </c>
      <c r="B66" s="319">
        <v>1000</v>
      </c>
      <c r="C66" s="522">
        <v>4100</v>
      </c>
      <c r="D66" s="319">
        <v>1200</v>
      </c>
      <c r="E66" s="522">
        <v>1200</v>
      </c>
      <c r="F66" s="586"/>
    </row>
    <row r="67" spans="1:6" ht="15.75" x14ac:dyDescent="0.25">
      <c r="A67" s="386" t="s">
        <v>685</v>
      </c>
      <c r="B67" s="319">
        <v>700</v>
      </c>
      <c r="C67" s="522">
        <v>1400</v>
      </c>
      <c r="D67" s="319">
        <v>1900</v>
      </c>
      <c r="E67" s="522">
        <v>1598.13</v>
      </c>
      <c r="F67" s="586"/>
    </row>
    <row r="68" spans="1:6" ht="15.75" x14ac:dyDescent="0.25">
      <c r="A68" s="386" t="s">
        <v>676</v>
      </c>
      <c r="B68" s="319"/>
      <c r="C68" s="522"/>
      <c r="D68" s="319">
        <v>350</v>
      </c>
      <c r="E68" s="522">
        <v>350</v>
      </c>
      <c r="F68" s="586"/>
    </row>
    <row r="69" spans="1:6" ht="15.75" x14ac:dyDescent="0.25">
      <c r="A69" s="386" t="s">
        <v>551</v>
      </c>
      <c r="B69" s="319">
        <v>5310</v>
      </c>
      <c r="C69" s="522">
        <v>9000</v>
      </c>
      <c r="D69" s="319">
        <v>9000</v>
      </c>
      <c r="E69" s="522">
        <v>9000</v>
      </c>
      <c r="F69" s="586"/>
    </row>
    <row r="70" spans="1:6" ht="15.75" x14ac:dyDescent="0.25">
      <c r="A70" s="386" t="s">
        <v>509</v>
      </c>
      <c r="B70" s="319">
        <v>3493.9</v>
      </c>
      <c r="C70" s="522"/>
      <c r="D70" s="319"/>
      <c r="E70" s="522"/>
      <c r="F70" s="586"/>
    </row>
    <row r="71" spans="1:6" ht="15.75" x14ac:dyDescent="0.25">
      <c r="A71" s="386" t="s">
        <v>511</v>
      </c>
      <c r="B71" s="319">
        <v>10000</v>
      </c>
      <c r="C71" s="522"/>
      <c r="D71" s="319"/>
      <c r="E71" s="522"/>
      <c r="F71" s="586"/>
    </row>
    <row r="72" spans="1:6" ht="15.75" x14ac:dyDescent="0.25">
      <c r="A72" s="386" t="s">
        <v>520</v>
      </c>
      <c r="B72" s="319">
        <v>19985.599999999999</v>
      </c>
      <c r="C72" s="522"/>
      <c r="D72" s="319"/>
      <c r="E72" s="522"/>
      <c r="F72" s="586"/>
    </row>
    <row r="73" spans="1:6" ht="15.75" x14ac:dyDescent="0.25">
      <c r="A73" s="386" t="s">
        <v>512</v>
      </c>
      <c r="B73" s="319">
        <v>1500</v>
      </c>
      <c r="C73" s="522"/>
      <c r="D73" s="319"/>
      <c r="E73" s="522"/>
      <c r="F73" s="586"/>
    </row>
    <row r="74" spans="1:6" ht="15.75" x14ac:dyDescent="0.25">
      <c r="A74" s="386" t="s">
        <v>510</v>
      </c>
      <c r="B74" s="319">
        <v>3700</v>
      </c>
      <c r="C74" s="522"/>
      <c r="D74" s="319"/>
      <c r="E74" s="522"/>
      <c r="F74" s="586"/>
    </row>
    <row r="75" spans="1:6" ht="15.75" x14ac:dyDescent="0.25">
      <c r="A75" s="386" t="s">
        <v>516</v>
      </c>
      <c r="B75" s="319">
        <v>5742.64</v>
      </c>
      <c r="C75" s="522"/>
      <c r="D75" s="319"/>
      <c r="E75" s="522"/>
      <c r="F75" s="586"/>
    </row>
    <row r="76" spans="1:6" ht="15.75" x14ac:dyDescent="0.25">
      <c r="A76" s="386" t="s">
        <v>517</v>
      </c>
      <c r="B76" s="319">
        <v>2780</v>
      </c>
      <c r="C76" s="522">
        <v>720</v>
      </c>
      <c r="D76" s="319">
        <v>5200</v>
      </c>
      <c r="E76" s="522">
        <v>5200</v>
      </c>
      <c r="F76" s="586"/>
    </row>
    <row r="77" spans="1:6" ht="15.75" x14ac:dyDescent="0.25">
      <c r="A77" s="386" t="s">
        <v>522</v>
      </c>
      <c r="B77" s="319">
        <v>1800</v>
      </c>
      <c r="C77" s="522"/>
      <c r="D77" s="319"/>
      <c r="E77" s="522"/>
      <c r="F77" s="586"/>
    </row>
    <row r="78" spans="1:6" ht="15.75" x14ac:dyDescent="0.25">
      <c r="A78" s="386" t="s">
        <v>72</v>
      </c>
      <c r="B78" s="319">
        <v>1070</v>
      </c>
      <c r="C78" s="522">
        <v>1300</v>
      </c>
      <c r="D78" s="319"/>
      <c r="E78" s="522">
        <v>1250</v>
      </c>
      <c r="F78" s="586"/>
    </row>
    <row r="79" spans="1:6" ht="15.75" x14ac:dyDescent="0.25">
      <c r="A79" s="386" t="s">
        <v>385</v>
      </c>
      <c r="B79" s="319"/>
      <c r="C79" s="522"/>
      <c r="D79" s="319"/>
      <c r="E79" s="522"/>
      <c r="F79" s="586"/>
    </row>
    <row r="80" spans="1:6" s="432" customFormat="1" ht="15.75" x14ac:dyDescent="0.25">
      <c r="A80" s="386" t="s">
        <v>524</v>
      </c>
      <c r="B80" s="319">
        <v>1000</v>
      </c>
      <c r="C80" s="522">
        <v>1000</v>
      </c>
      <c r="D80" s="319">
        <v>1000</v>
      </c>
      <c r="E80" s="522">
        <v>1000</v>
      </c>
      <c r="F80" s="586"/>
    </row>
    <row r="81" spans="1:7" ht="15.75" x14ac:dyDescent="0.25">
      <c r="A81" s="386" t="s">
        <v>418</v>
      </c>
      <c r="B81" s="319"/>
      <c r="C81" s="522"/>
      <c r="D81" s="319"/>
      <c r="E81" s="522"/>
      <c r="F81" s="586"/>
    </row>
    <row r="82" spans="1:7" ht="15.75" x14ac:dyDescent="0.25">
      <c r="A82" s="386" t="s">
        <v>507</v>
      </c>
      <c r="B82" s="319">
        <v>1000</v>
      </c>
      <c r="C82" s="522"/>
      <c r="D82" s="319"/>
      <c r="E82" s="522"/>
      <c r="F82" s="586"/>
    </row>
    <row r="83" spans="1:7" ht="15.75" x14ac:dyDescent="0.25">
      <c r="A83" s="386" t="s">
        <v>502</v>
      </c>
      <c r="B83" s="319"/>
      <c r="C83" s="522"/>
      <c r="D83" s="319"/>
      <c r="E83" s="522"/>
      <c r="F83" s="586"/>
    </row>
    <row r="84" spans="1:7" ht="15.75" x14ac:dyDescent="0.25">
      <c r="A84" s="386" t="s">
        <v>399</v>
      </c>
      <c r="B84" s="319"/>
      <c r="C84" s="522"/>
      <c r="D84" s="319"/>
      <c r="E84" s="522"/>
      <c r="F84" s="586"/>
    </row>
    <row r="85" spans="1:7" ht="15.75" x14ac:dyDescent="0.25">
      <c r="A85" s="386" t="s">
        <v>400</v>
      </c>
      <c r="B85" s="319"/>
      <c r="C85" s="522"/>
      <c r="D85" s="319"/>
      <c r="E85" s="522"/>
      <c r="F85" s="586"/>
    </row>
    <row r="86" spans="1:7" ht="15.75" x14ac:dyDescent="0.25">
      <c r="A86" s="386" t="s">
        <v>401</v>
      </c>
      <c r="B86" s="319"/>
      <c r="C86" s="522"/>
      <c r="D86" s="319"/>
      <c r="E86" s="522"/>
      <c r="F86" s="586"/>
    </row>
    <row r="87" spans="1:7" ht="15.75" x14ac:dyDescent="0.25">
      <c r="A87" s="386" t="s">
        <v>76</v>
      </c>
      <c r="B87" s="319"/>
      <c r="C87" s="522"/>
      <c r="D87" s="319"/>
      <c r="E87" s="522"/>
      <c r="F87" s="586"/>
    </row>
    <row r="88" spans="1:7" ht="15.75" x14ac:dyDescent="0.25">
      <c r="A88" s="386" t="s">
        <v>78</v>
      </c>
      <c r="B88" s="319">
        <v>800</v>
      </c>
      <c r="C88" s="522"/>
      <c r="D88" s="319"/>
      <c r="E88" s="522"/>
      <c r="F88" s="586"/>
    </row>
    <row r="89" spans="1:7" ht="15.75" x14ac:dyDescent="0.25">
      <c r="A89" s="386" t="s">
        <v>426</v>
      </c>
      <c r="B89" s="319">
        <v>1692.25</v>
      </c>
      <c r="C89" s="522"/>
      <c r="D89" s="319"/>
      <c r="E89" s="522"/>
      <c r="F89" s="586"/>
    </row>
    <row r="90" spans="1:7" ht="15.75" x14ac:dyDescent="0.25">
      <c r="A90" s="394" t="s">
        <v>472</v>
      </c>
      <c r="B90" s="319">
        <v>48567.12</v>
      </c>
      <c r="C90" s="522">
        <v>32262.89</v>
      </c>
      <c r="D90" s="319">
        <v>35000</v>
      </c>
      <c r="E90" s="522">
        <v>34918.19</v>
      </c>
      <c r="F90" s="586"/>
    </row>
    <row r="91" spans="1:7" ht="15.75" x14ac:dyDescent="0.25">
      <c r="A91" s="394" t="s">
        <v>471</v>
      </c>
      <c r="B91" s="319">
        <v>5700</v>
      </c>
      <c r="C91" s="522"/>
      <c r="D91" s="319"/>
      <c r="E91" s="522"/>
      <c r="F91" s="586"/>
    </row>
    <row r="92" spans="1:7" ht="15.75" x14ac:dyDescent="0.25">
      <c r="A92" s="394" t="s">
        <v>473</v>
      </c>
      <c r="B92" s="319"/>
      <c r="C92" s="522"/>
      <c r="D92" s="319"/>
      <c r="E92" s="522"/>
      <c r="F92" s="586"/>
    </row>
    <row r="93" spans="1:7" ht="15.75" x14ac:dyDescent="0.25">
      <c r="A93" s="394" t="s">
        <v>706</v>
      </c>
      <c r="B93" s="319"/>
      <c r="C93" s="522"/>
      <c r="D93" s="319">
        <v>21625</v>
      </c>
      <c r="E93" s="522">
        <v>21624.28</v>
      </c>
      <c r="F93" s="586"/>
    </row>
    <row r="94" spans="1:7" ht="15.75" x14ac:dyDescent="0.25">
      <c r="A94" s="394" t="s">
        <v>525</v>
      </c>
      <c r="B94" s="319">
        <v>2153</v>
      </c>
      <c r="C94" s="522"/>
      <c r="D94" s="319"/>
      <c r="E94" s="522"/>
      <c r="F94" s="586"/>
    </row>
    <row r="95" spans="1:7" ht="15.75" x14ac:dyDescent="0.25">
      <c r="A95" s="394" t="s">
        <v>565</v>
      </c>
      <c r="B95" s="319"/>
      <c r="C95" s="522"/>
      <c r="D95" s="319">
        <v>340720</v>
      </c>
      <c r="E95" s="522"/>
      <c r="F95" s="586"/>
    </row>
    <row r="96" spans="1:7" ht="15.75" x14ac:dyDescent="0.25">
      <c r="A96" s="394" t="s">
        <v>558</v>
      </c>
      <c r="B96" s="319"/>
      <c r="C96" s="522">
        <v>5362.51</v>
      </c>
      <c r="D96" s="319">
        <v>3600</v>
      </c>
      <c r="E96" s="522">
        <v>3544</v>
      </c>
      <c r="F96" s="586"/>
      <c r="G96" s="582"/>
    </row>
    <row r="97" spans="1:7" ht="15.75" x14ac:dyDescent="0.25">
      <c r="A97" s="394" t="s">
        <v>559</v>
      </c>
      <c r="B97" s="319"/>
      <c r="C97" s="522">
        <v>8757.33</v>
      </c>
      <c r="D97" s="319">
        <v>3300</v>
      </c>
      <c r="E97" s="522">
        <v>3294.54</v>
      </c>
      <c r="F97" s="586"/>
      <c r="G97" s="582"/>
    </row>
    <row r="98" spans="1:7" ht="15.75" x14ac:dyDescent="0.25">
      <c r="A98" s="386" t="s">
        <v>457</v>
      </c>
      <c r="B98" s="319"/>
      <c r="C98" s="522"/>
      <c r="D98" s="319"/>
      <c r="E98" s="522"/>
      <c r="F98" s="586"/>
    </row>
    <row r="99" spans="1:7" ht="15.75" x14ac:dyDescent="0.25">
      <c r="A99" s="386" t="s">
        <v>549</v>
      </c>
      <c r="B99" s="319"/>
      <c r="C99" s="522">
        <v>2093.2800000000002</v>
      </c>
      <c r="D99" s="319">
        <v>3000</v>
      </c>
      <c r="E99" s="522">
        <v>1231.04</v>
      </c>
      <c r="F99" s="586"/>
    </row>
    <row r="100" spans="1:7" ht="15.75" x14ac:dyDescent="0.25">
      <c r="A100" s="386" t="s">
        <v>547</v>
      </c>
      <c r="B100" s="319">
        <v>137072</v>
      </c>
      <c r="C100" s="522">
        <v>155280</v>
      </c>
      <c r="D100" s="319">
        <v>151970</v>
      </c>
      <c r="E100" s="522">
        <v>153666.59</v>
      </c>
      <c r="F100" s="586"/>
    </row>
    <row r="101" spans="1:7" ht="15.75" x14ac:dyDescent="0.25">
      <c r="A101" s="386" t="s">
        <v>548</v>
      </c>
      <c r="B101" s="319"/>
      <c r="C101" s="522">
        <v>307200</v>
      </c>
      <c r="D101" s="319">
        <v>331470</v>
      </c>
      <c r="E101" s="522">
        <v>331089.76</v>
      </c>
      <c r="F101" s="586"/>
    </row>
    <row r="102" spans="1:7" ht="15.75" x14ac:dyDescent="0.25">
      <c r="A102" s="386" t="s">
        <v>83</v>
      </c>
      <c r="B102" s="319">
        <v>13089.83</v>
      </c>
      <c r="C102" s="522">
        <v>13460.07</v>
      </c>
      <c r="D102" s="319">
        <v>14430</v>
      </c>
      <c r="E102" s="522">
        <v>14421.88</v>
      </c>
      <c r="F102" s="586"/>
    </row>
    <row r="103" spans="1:7" ht="15.75" x14ac:dyDescent="0.25">
      <c r="A103" s="394" t="s">
        <v>84</v>
      </c>
      <c r="B103" s="319">
        <v>3137101</v>
      </c>
      <c r="C103" s="522">
        <v>3374431</v>
      </c>
      <c r="D103" s="319">
        <v>3600000</v>
      </c>
      <c r="E103" s="522">
        <v>3557676</v>
      </c>
      <c r="F103" s="586"/>
    </row>
    <row r="104" spans="1:7" ht="15.75" x14ac:dyDescent="0.25">
      <c r="A104" s="394" t="s">
        <v>85</v>
      </c>
      <c r="B104" s="319">
        <v>21332.34</v>
      </c>
      <c r="C104" s="522">
        <v>21124.02</v>
      </c>
      <c r="D104" s="319">
        <v>24950</v>
      </c>
      <c r="E104" s="522">
        <v>24935.040000000001</v>
      </c>
      <c r="F104" s="586"/>
    </row>
    <row r="105" spans="1:7" ht="15.75" x14ac:dyDescent="0.25">
      <c r="A105" s="394" t="s">
        <v>86</v>
      </c>
      <c r="B105" s="319">
        <v>11294.92</v>
      </c>
      <c r="C105" s="522">
        <v>11237.78</v>
      </c>
      <c r="D105" s="319">
        <v>11300</v>
      </c>
      <c r="E105" s="522">
        <v>11204.61</v>
      </c>
      <c r="F105" s="586"/>
    </row>
    <row r="106" spans="1:7" ht="15.75" x14ac:dyDescent="0.25">
      <c r="A106" s="394" t="s">
        <v>87</v>
      </c>
      <c r="B106" s="319">
        <v>990.92</v>
      </c>
      <c r="C106" s="522">
        <v>981.24</v>
      </c>
      <c r="D106" s="319">
        <v>1000</v>
      </c>
      <c r="E106" s="522">
        <v>970.44</v>
      </c>
      <c r="F106" s="586"/>
    </row>
    <row r="107" spans="1:7" ht="15.75" x14ac:dyDescent="0.25">
      <c r="A107" s="394" t="s">
        <v>88</v>
      </c>
      <c r="B107" s="319">
        <v>2145.48</v>
      </c>
      <c r="C107" s="522">
        <v>2122.6</v>
      </c>
      <c r="D107" s="319">
        <v>2200</v>
      </c>
      <c r="E107" s="522">
        <v>2143</v>
      </c>
      <c r="F107" s="586"/>
    </row>
    <row r="108" spans="1:7" ht="15.75" x14ac:dyDescent="0.25">
      <c r="A108" s="394" t="s">
        <v>508</v>
      </c>
      <c r="B108" s="319">
        <v>7618.54</v>
      </c>
      <c r="C108" s="522">
        <v>10484.82</v>
      </c>
      <c r="D108" s="319">
        <v>10500</v>
      </c>
      <c r="E108" s="522">
        <v>8162.32</v>
      </c>
      <c r="F108" s="586"/>
    </row>
    <row r="109" spans="1:7" ht="15.75" x14ac:dyDescent="0.25">
      <c r="A109" s="394" t="s">
        <v>90</v>
      </c>
      <c r="B109" s="319">
        <v>41013</v>
      </c>
      <c r="C109" s="522">
        <v>42704</v>
      </c>
      <c r="D109" s="319">
        <v>42000</v>
      </c>
      <c r="E109" s="522">
        <v>44258</v>
      </c>
      <c r="F109" s="586"/>
    </row>
    <row r="110" spans="1:7" ht="15.75" x14ac:dyDescent="0.25">
      <c r="A110" s="394" t="s">
        <v>504</v>
      </c>
      <c r="B110" s="319">
        <v>239546.4</v>
      </c>
      <c r="C110" s="522">
        <v>228775.85</v>
      </c>
      <c r="D110" s="319">
        <v>269549</v>
      </c>
      <c r="E110" s="522">
        <v>260645.55</v>
      </c>
      <c r="F110" s="586"/>
    </row>
    <row r="111" spans="1:7" ht="15.75" x14ac:dyDescent="0.25">
      <c r="A111" s="394" t="s">
        <v>92</v>
      </c>
      <c r="B111" s="319">
        <v>3832.66</v>
      </c>
      <c r="C111" s="522">
        <v>504.15</v>
      </c>
      <c r="D111" s="319">
        <v>1000</v>
      </c>
      <c r="E111" s="522"/>
      <c r="F111" s="586"/>
    </row>
    <row r="112" spans="1:7" ht="15.75" x14ac:dyDescent="0.25">
      <c r="A112" s="394" t="s">
        <v>458</v>
      </c>
      <c r="B112" s="319">
        <v>2370.15</v>
      </c>
      <c r="C112" s="522"/>
      <c r="D112" s="319">
        <v>500</v>
      </c>
      <c r="E112" s="522"/>
      <c r="F112" s="586"/>
    </row>
    <row r="113" spans="1:6" ht="15.75" x14ac:dyDescent="0.25">
      <c r="A113" s="394" t="s">
        <v>420</v>
      </c>
      <c r="B113" s="319"/>
      <c r="C113" s="522"/>
      <c r="D113" s="319"/>
      <c r="E113" s="522"/>
      <c r="F113" s="586"/>
    </row>
    <row r="114" spans="1:6" ht="15.75" x14ac:dyDescent="0.25">
      <c r="A114" s="394" t="s">
        <v>518</v>
      </c>
      <c r="B114" s="319">
        <v>693</v>
      </c>
      <c r="C114" s="522">
        <v>662</v>
      </c>
      <c r="D114" s="319">
        <v>700</v>
      </c>
      <c r="E114" s="522">
        <v>1668</v>
      </c>
      <c r="F114" s="586"/>
    </row>
    <row r="115" spans="1:6" ht="15.75" x14ac:dyDescent="0.25">
      <c r="A115" s="394" t="s">
        <v>93</v>
      </c>
      <c r="B115" s="319"/>
      <c r="C115" s="522"/>
      <c r="D115" s="319"/>
      <c r="E115" s="522">
        <v>10</v>
      </c>
      <c r="F115" s="586"/>
    </row>
    <row r="116" spans="1:6" ht="15" customHeight="1" x14ac:dyDescent="0.25">
      <c r="A116" s="394" t="s">
        <v>100</v>
      </c>
      <c r="B116" s="319">
        <v>23181.69</v>
      </c>
      <c r="C116" s="522">
        <v>20738.900000000001</v>
      </c>
      <c r="D116" s="319">
        <v>24300</v>
      </c>
      <c r="E116" s="522">
        <v>23889.18</v>
      </c>
      <c r="F116" s="586"/>
    </row>
    <row r="117" spans="1:6" ht="15" customHeight="1" x14ac:dyDescent="0.25">
      <c r="A117" s="394" t="s">
        <v>686</v>
      </c>
      <c r="B117" s="319"/>
      <c r="C117" s="522">
        <v>1400</v>
      </c>
      <c r="D117" s="319">
        <v>1400</v>
      </c>
      <c r="E117" s="522">
        <v>1151.31</v>
      </c>
      <c r="F117" s="586"/>
    </row>
    <row r="118" spans="1:6" ht="15.75" x14ac:dyDescent="0.25">
      <c r="A118" s="394" t="s">
        <v>519</v>
      </c>
      <c r="B118" s="319">
        <v>1600</v>
      </c>
      <c r="C118" s="522"/>
      <c r="D118" s="319"/>
      <c r="E118" s="522"/>
      <c r="F118" s="586"/>
    </row>
    <row r="119" spans="1:6" ht="15.75" x14ac:dyDescent="0.25">
      <c r="A119" s="394" t="s">
        <v>470</v>
      </c>
      <c r="B119" s="319">
        <v>12423.26</v>
      </c>
      <c r="C119" s="522">
        <v>8164.56</v>
      </c>
      <c r="D119" s="319">
        <v>16000</v>
      </c>
      <c r="E119" s="522">
        <v>10001.68</v>
      </c>
      <c r="F119" s="586"/>
    </row>
    <row r="120" spans="1:6" ht="15.75" x14ac:dyDescent="0.25">
      <c r="A120" s="394" t="s">
        <v>402</v>
      </c>
      <c r="B120" s="319"/>
      <c r="C120" s="522"/>
      <c r="D120" s="319"/>
      <c r="E120" s="522"/>
      <c r="F120" s="586"/>
    </row>
    <row r="121" spans="1:6" ht="15.75" x14ac:dyDescent="0.25">
      <c r="A121" s="394" t="s">
        <v>554</v>
      </c>
      <c r="B121" s="319"/>
      <c r="C121" s="522">
        <v>5200</v>
      </c>
      <c r="D121" s="319">
        <v>5200</v>
      </c>
      <c r="E121" s="522">
        <v>5200</v>
      </c>
      <c r="F121" s="586"/>
    </row>
    <row r="122" spans="1:6" ht="15.75" x14ac:dyDescent="0.25">
      <c r="A122" s="394" t="s">
        <v>419</v>
      </c>
      <c r="B122" s="319"/>
      <c r="C122" s="522"/>
      <c r="D122" s="319"/>
      <c r="E122" s="522"/>
      <c r="F122" s="586"/>
    </row>
    <row r="123" spans="1:6" ht="15.75" x14ac:dyDescent="0.25">
      <c r="A123" s="394" t="s">
        <v>102</v>
      </c>
      <c r="B123" s="319"/>
      <c r="C123" s="522"/>
      <c r="D123" s="319"/>
      <c r="E123" s="522"/>
      <c r="F123" s="586"/>
    </row>
    <row r="124" spans="1:6" ht="15.75" x14ac:dyDescent="0.25">
      <c r="A124" s="394" t="s">
        <v>103</v>
      </c>
      <c r="B124" s="319"/>
      <c r="C124" s="522"/>
      <c r="D124" s="319"/>
      <c r="E124" s="522"/>
      <c r="F124" s="586"/>
    </row>
    <row r="125" spans="1:6" ht="15.75" x14ac:dyDescent="0.25">
      <c r="A125" s="394" t="s">
        <v>425</v>
      </c>
      <c r="B125" s="319"/>
      <c r="C125" s="522"/>
      <c r="D125" s="319"/>
      <c r="E125" s="522"/>
      <c r="F125" s="586"/>
    </row>
    <row r="126" spans="1:6" ht="15.75" x14ac:dyDescent="0.25">
      <c r="A126" s="394" t="s">
        <v>104</v>
      </c>
      <c r="B126" s="319"/>
      <c r="C126" s="522"/>
      <c r="D126" s="319"/>
      <c r="E126" s="522"/>
      <c r="F126" s="586"/>
    </row>
    <row r="127" spans="1:6" ht="16.5" thickBot="1" x14ac:dyDescent="0.3">
      <c r="A127" s="394" t="s">
        <v>105</v>
      </c>
      <c r="B127" s="319"/>
      <c r="C127" s="522"/>
      <c r="D127" s="319"/>
      <c r="E127" s="522"/>
      <c r="F127" s="586"/>
    </row>
    <row r="128" spans="1:6" ht="18.75" thickBot="1" x14ac:dyDescent="0.3">
      <c r="A128" s="397" t="s">
        <v>415</v>
      </c>
      <c r="B128" s="398">
        <f t="shared" ref="B128" si="16">B129+B133</f>
        <v>1260085.6400000001</v>
      </c>
      <c r="C128" s="524">
        <f>C129+C133</f>
        <v>520618.15</v>
      </c>
      <c r="D128" s="398">
        <f>D129+D133</f>
        <v>3539290</v>
      </c>
      <c r="E128" s="524">
        <f>E129+E133</f>
        <v>3008344.36</v>
      </c>
      <c r="F128" s="586"/>
    </row>
    <row r="129" spans="1:7" ht="18.75" thickBot="1" x14ac:dyDescent="0.3">
      <c r="A129" s="422" t="s">
        <v>111</v>
      </c>
      <c r="B129" s="423">
        <f t="shared" ref="B129" si="17">SUM(B130:B132)</f>
        <v>150972.09</v>
      </c>
      <c r="C129" s="525">
        <f>SUM(C130:C132)</f>
        <v>353171.15</v>
      </c>
      <c r="D129" s="423">
        <f>SUM(D130:D132)</f>
        <v>436000</v>
      </c>
      <c r="E129" s="525">
        <f>SUM(E130:E132)</f>
        <v>421965.55</v>
      </c>
      <c r="F129" s="586"/>
    </row>
    <row r="130" spans="1:7" ht="15.75" x14ac:dyDescent="0.25">
      <c r="A130" s="400" t="s">
        <v>113</v>
      </c>
      <c r="B130" s="428">
        <v>1086.8800000000001</v>
      </c>
      <c r="C130" s="526">
        <v>36663.440000000002</v>
      </c>
      <c r="D130" s="428">
        <v>120000</v>
      </c>
      <c r="E130" s="526">
        <v>104832.89</v>
      </c>
      <c r="F130" s="586"/>
    </row>
    <row r="131" spans="1:7" ht="15.75" x14ac:dyDescent="0.25">
      <c r="A131" s="400" t="s">
        <v>114</v>
      </c>
      <c r="B131" s="428"/>
      <c r="C131" s="526">
        <v>650</v>
      </c>
      <c r="D131" s="428">
        <v>1000</v>
      </c>
      <c r="E131" s="526">
        <v>225</v>
      </c>
      <c r="F131" s="586"/>
    </row>
    <row r="132" spans="1:7" ht="16.5" thickBot="1" x14ac:dyDescent="0.3">
      <c r="A132" s="424" t="s">
        <v>115</v>
      </c>
      <c r="B132" s="425">
        <v>149885.21</v>
      </c>
      <c r="C132" s="527">
        <v>315857.71000000002</v>
      </c>
      <c r="D132" s="425">
        <v>315000</v>
      </c>
      <c r="E132" s="527">
        <v>316907.65999999997</v>
      </c>
      <c r="F132" s="586"/>
      <c r="G132" s="582"/>
    </row>
    <row r="133" spans="1:7" ht="18.75" thickBot="1" x14ac:dyDescent="0.3">
      <c r="A133" s="401" t="s">
        <v>116</v>
      </c>
      <c r="B133" s="402">
        <f t="shared" ref="B133:E133" si="18">SUM(B134:B163)</f>
        <v>1109113.55</v>
      </c>
      <c r="C133" s="528">
        <f t="shared" si="18"/>
        <v>167447</v>
      </c>
      <c r="D133" s="402">
        <f t="shared" si="18"/>
        <v>3103290</v>
      </c>
      <c r="E133" s="528">
        <f t="shared" si="18"/>
        <v>2586378.81</v>
      </c>
      <c r="F133" s="586"/>
    </row>
    <row r="134" spans="1:7" ht="15.75" x14ac:dyDescent="0.25">
      <c r="A134" s="386" t="s">
        <v>692</v>
      </c>
      <c r="B134" s="391"/>
      <c r="C134" s="520"/>
      <c r="D134" s="391">
        <v>37000</v>
      </c>
      <c r="E134" s="522"/>
      <c r="F134" s="586"/>
    </row>
    <row r="135" spans="1:7" ht="15.75" x14ac:dyDescent="0.25">
      <c r="A135" s="386" t="s">
        <v>670</v>
      </c>
      <c r="B135" s="391"/>
      <c r="C135" s="520"/>
      <c r="D135" s="391">
        <v>1000</v>
      </c>
      <c r="E135" s="522">
        <v>1000</v>
      </c>
      <c r="F135" s="586"/>
    </row>
    <row r="136" spans="1:7" ht="15.75" x14ac:dyDescent="0.25">
      <c r="A136" s="386" t="s">
        <v>707</v>
      </c>
      <c r="B136" s="391"/>
      <c r="C136" s="520"/>
      <c r="D136" s="391">
        <v>20000</v>
      </c>
      <c r="E136" s="522"/>
      <c r="F136" s="586"/>
    </row>
    <row r="137" spans="1:7" ht="15.75" x14ac:dyDescent="0.25">
      <c r="A137" s="386" t="s">
        <v>496</v>
      </c>
      <c r="B137" s="391"/>
      <c r="C137" s="520"/>
      <c r="D137" s="391"/>
      <c r="E137" s="522"/>
      <c r="F137" s="586"/>
    </row>
    <row r="138" spans="1:7" ht="15.75" x14ac:dyDescent="0.25">
      <c r="A138" s="386" t="s">
        <v>577</v>
      </c>
      <c r="B138" s="391"/>
      <c r="C138" s="520"/>
      <c r="D138" s="391">
        <v>1450000</v>
      </c>
      <c r="E138" s="522">
        <v>1451002.32</v>
      </c>
      <c r="F138" s="586"/>
    </row>
    <row r="139" spans="1:7" ht="15.75" x14ac:dyDescent="0.25">
      <c r="A139" s="386" t="s">
        <v>688</v>
      </c>
      <c r="B139" s="391"/>
      <c r="C139" s="520"/>
      <c r="D139" s="391">
        <v>864000</v>
      </c>
      <c r="E139" s="522">
        <v>870228.35</v>
      </c>
      <c r="F139" s="586"/>
    </row>
    <row r="140" spans="1:7" ht="15.75" x14ac:dyDescent="0.25">
      <c r="A140" s="386" t="s">
        <v>689</v>
      </c>
      <c r="B140" s="391"/>
      <c r="C140" s="520"/>
      <c r="D140" s="391">
        <v>135000</v>
      </c>
      <c r="E140" s="522">
        <v>169458.14</v>
      </c>
      <c r="F140" s="586"/>
    </row>
    <row r="141" spans="1:7" ht="15.75" x14ac:dyDescent="0.25">
      <c r="A141" s="386" t="s">
        <v>690</v>
      </c>
      <c r="B141" s="391"/>
      <c r="C141" s="520"/>
      <c r="D141" s="391">
        <v>444600</v>
      </c>
      <c r="E141" s="522"/>
      <c r="F141" s="586"/>
    </row>
    <row r="142" spans="1:7" ht="15.75" x14ac:dyDescent="0.25">
      <c r="A142" s="386" t="s">
        <v>691</v>
      </c>
      <c r="B142" s="391"/>
      <c r="C142" s="520"/>
      <c r="D142" s="391">
        <v>57000</v>
      </c>
      <c r="E142" s="522"/>
      <c r="F142" s="586"/>
    </row>
    <row r="143" spans="1:7" ht="15.75" x14ac:dyDescent="0.25">
      <c r="A143" s="386" t="s">
        <v>521</v>
      </c>
      <c r="B143" s="391">
        <v>4500</v>
      </c>
      <c r="C143" s="520"/>
      <c r="D143" s="391"/>
      <c r="E143" s="522"/>
      <c r="F143" s="586"/>
    </row>
    <row r="144" spans="1:7" ht="15.75" x14ac:dyDescent="0.25">
      <c r="A144" s="386" t="s">
        <v>450</v>
      </c>
      <c r="B144" s="391"/>
      <c r="C144" s="520"/>
      <c r="D144" s="391"/>
      <c r="E144" s="522"/>
      <c r="F144" s="586"/>
    </row>
    <row r="145" spans="1:6" ht="15.75" x14ac:dyDescent="0.25">
      <c r="A145" s="386" t="s">
        <v>708</v>
      </c>
      <c r="B145" s="391"/>
      <c r="C145" s="520"/>
      <c r="D145" s="391">
        <v>4765</v>
      </c>
      <c r="E145" s="522">
        <v>4765</v>
      </c>
      <c r="F145" s="586"/>
    </row>
    <row r="146" spans="1:6" ht="15.75" x14ac:dyDescent="0.25">
      <c r="A146" s="386" t="s">
        <v>669</v>
      </c>
      <c r="B146" s="391"/>
      <c r="C146" s="520">
        <v>17447</v>
      </c>
      <c r="D146" s="391"/>
      <c r="E146" s="522"/>
      <c r="F146" s="586"/>
    </row>
    <row r="147" spans="1:6" ht="15.75" x14ac:dyDescent="0.25">
      <c r="A147" s="386" t="s">
        <v>514</v>
      </c>
      <c r="B147" s="391">
        <v>3300</v>
      </c>
      <c r="C147" s="520"/>
      <c r="D147" s="391"/>
      <c r="E147" s="522"/>
      <c r="F147" s="586"/>
    </row>
    <row r="148" spans="1:6" ht="15.75" x14ac:dyDescent="0.25">
      <c r="A148" s="386" t="s">
        <v>515</v>
      </c>
      <c r="B148" s="391">
        <v>50000</v>
      </c>
      <c r="C148" s="520"/>
      <c r="D148" s="391"/>
      <c r="E148" s="522"/>
      <c r="F148" s="586"/>
    </row>
    <row r="149" spans="1:6" ht="15.75" x14ac:dyDescent="0.25">
      <c r="A149" s="386" t="s">
        <v>513</v>
      </c>
      <c r="B149" s="391"/>
      <c r="C149" s="520">
        <v>10000</v>
      </c>
      <c r="D149" s="391"/>
      <c r="E149" s="522"/>
      <c r="F149" s="586"/>
    </row>
    <row r="150" spans="1:6" ht="15.75" x14ac:dyDescent="0.25">
      <c r="A150" s="386" t="s">
        <v>467</v>
      </c>
      <c r="B150" s="391"/>
      <c r="C150" s="520"/>
      <c r="D150" s="391">
        <v>60000</v>
      </c>
      <c r="E150" s="522">
        <v>60000</v>
      </c>
      <c r="F150" s="586"/>
    </row>
    <row r="151" spans="1:6" ht="15.75" x14ac:dyDescent="0.25">
      <c r="A151" s="386" t="s">
        <v>449</v>
      </c>
      <c r="B151" s="391"/>
      <c r="C151" s="520"/>
      <c r="D151" s="391"/>
      <c r="E151" s="522"/>
      <c r="F151" s="586"/>
    </row>
    <row r="152" spans="1:6" ht="15.75" x14ac:dyDescent="0.25">
      <c r="A152" s="386" t="s">
        <v>687</v>
      </c>
      <c r="B152" s="391"/>
      <c r="C152" s="520"/>
      <c r="D152" s="391"/>
      <c r="E152" s="522"/>
      <c r="F152" s="586"/>
    </row>
    <row r="153" spans="1:6" ht="15.75" x14ac:dyDescent="0.25">
      <c r="A153" s="386" t="s">
        <v>453</v>
      </c>
      <c r="B153" s="391"/>
      <c r="C153" s="520">
        <v>10000</v>
      </c>
      <c r="D153" s="391"/>
      <c r="E153" s="522"/>
      <c r="F153" s="586"/>
    </row>
    <row r="154" spans="1:6" ht="15.75" x14ac:dyDescent="0.25">
      <c r="A154" s="386" t="s">
        <v>454</v>
      </c>
      <c r="B154" s="391"/>
      <c r="C154" s="520"/>
      <c r="D154" s="391"/>
      <c r="E154" s="522"/>
      <c r="F154" s="586"/>
    </row>
    <row r="155" spans="1:6" ht="15.75" x14ac:dyDescent="0.25">
      <c r="A155" s="386" t="s">
        <v>503</v>
      </c>
      <c r="B155" s="391">
        <v>35000</v>
      </c>
      <c r="C155" s="520">
        <v>40000</v>
      </c>
      <c r="D155" s="391"/>
      <c r="E155" s="522"/>
      <c r="F155" s="586"/>
    </row>
    <row r="156" spans="1:6" ht="15.75" x14ac:dyDescent="0.25">
      <c r="A156" s="386" t="s">
        <v>120</v>
      </c>
      <c r="B156" s="391"/>
      <c r="C156" s="520"/>
      <c r="D156" s="391"/>
      <c r="E156" s="522"/>
      <c r="F156" s="586"/>
    </row>
    <row r="157" spans="1:6" ht="15.75" x14ac:dyDescent="0.25">
      <c r="A157" s="386" t="s">
        <v>468</v>
      </c>
      <c r="B157" s="391"/>
      <c r="C157" s="520"/>
      <c r="D157" s="391"/>
      <c r="E157" s="522"/>
      <c r="F157" s="586"/>
    </row>
    <row r="158" spans="1:6" ht="15.75" x14ac:dyDescent="0.25">
      <c r="A158" s="386" t="s">
        <v>564</v>
      </c>
      <c r="B158" s="391">
        <v>129000</v>
      </c>
      <c r="C158" s="520">
        <v>90000</v>
      </c>
      <c r="D158" s="391">
        <v>29925</v>
      </c>
      <c r="E158" s="522">
        <v>29925</v>
      </c>
      <c r="F158" s="586"/>
    </row>
    <row r="159" spans="1:6" ht="15.75" x14ac:dyDescent="0.25">
      <c r="A159" s="386" t="s">
        <v>448</v>
      </c>
      <c r="B159" s="391"/>
      <c r="C159" s="520"/>
      <c r="D159" s="391"/>
      <c r="E159" s="522"/>
      <c r="F159" s="586"/>
    </row>
    <row r="160" spans="1:6" ht="15.75" x14ac:dyDescent="0.25">
      <c r="A160" s="386" t="s">
        <v>447</v>
      </c>
      <c r="B160" s="391"/>
      <c r="C160" s="520"/>
      <c r="D160" s="391"/>
      <c r="E160" s="522"/>
      <c r="F160" s="586"/>
    </row>
    <row r="161" spans="1:9" ht="15.75" x14ac:dyDescent="0.25">
      <c r="A161" s="386" t="s">
        <v>445</v>
      </c>
      <c r="B161" s="391">
        <v>594381.25</v>
      </c>
      <c r="C161" s="520"/>
      <c r="D161" s="391"/>
      <c r="E161" s="522"/>
      <c r="F161" s="586"/>
    </row>
    <row r="162" spans="1:9" ht="15.75" x14ac:dyDescent="0.25">
      <c r="A162" s="400" t="s">
        <v>397</v>
      </c>
      <c r="B162" s="428"/>
      <c r="C162" s="526"/>
      <c r="D162" s="428"/>
      <c r="E162" s="526"/>
      <c r="F162" s="586"/>
    </row>
    <row r="163" spans="1:9" ht="16.5" thickBot="1" x14ac:dyDescent="0.3">
      <c r="A163" s="386" t="s">
        <v>446</v>
      </c>
      <c r="B163" s="391">
        <v>292932.3</v>
      </c>
      <c r="C163" s="520"/>
      <c r="D163" s="391"/>
      <c r="E163" s="522"/>
      <c r="F163" s="586"/>
    </row>
    <row r="164" spans="1:9" ht="18.75" thickBot="1" x14ac:dyDescent="0.3">
      <c r="A164" s="293" t="s">
        <v>405</v>
      </c>
      <c r="B164" s="382">
        <f t="shared" ref="B164" si="19">SUM(B165:B173)</f>
        <v>760002.99</v>
      </c>
      <c r="C164" s="513">
        <f t="shared" ref="C164:E164" si="20">SUM(C165:C173)</f>
        <v>3592254.8200000003</v>
      </c>
      <c r="D164" s="382">
        <f t="shared" si="20"/>
        <v>4104015</v>
      </c>
      <c r="E164" s="513">
        <f t="shared" si="20"/>
        <v>3269689.59</v>
      </c>
      <c r="F164" s="586"/>
    </row>
    <row r="165" spans="1:9" ht="15.75" x14ac:dyDescent="0.25">
      <c r="A165" s="386" t="s">
        <v>555</v>
      </c>
      <c r="B165" s="319">
        <v>760002.99</v>
      </c>
      <c r="C165" s="522">
        <v>450000</v>
      </c>
      <c r="D165" s="319">
        <v>920800</v>
      </c>
      <c r="E165" s="522">
        <v>920800</v>
      </c>
      <c r="F165" s="586"/>
    </row>
    <row r="166" spans="1:9" ht="15.75" x14ac:dyDescent="0.25">
      <c r="A166" s="386" t="s">
        <v>693</v>
      </c>
      <c r="B166" s="319"/>
      <c r="C166" s="522"/>
      <c r="D166" s="319">
        <v>51</v>
      </c>
      <c r="E166" s="522">
        <v>50.63</v>
      </c>
      <c r="F166" s="586"/>
    </row>
    <row r="167" spans="1:9" ht="15.75" x14ac:dyDescent="0.25">
      <c r="A167" s="386" t="s">
        <v>557</v>
      </c>
      <c r="B167" s="319"/>
      <c r="C167" s="522"/>
      <c r="D167" s="319"/>
      <c r="E167" s="522"/>
      <c r="F167" s="586"/>
    </row>
    <row r="168" spans="1:9" ht="15.75" x14ac:dyDescent="0.25">
      <c r="A168" s="386" t="s">
        <v>671</v>
      </c>
      <c r="B168" s="319"/>
      <c r="C168" s="522">
        <v>6582.47</v>
      </c>
      <c r="D168" s="319">
        <v>90564</v>
      </c>
      <c r="E168" s="522">
        <f>62159.41+28394.91</f>
        <v>90554.32</v>
      </c>
      <c r="F168" s="586"/>
    </row>
    <row r="169" spans="1:9" ht="15.75" x14ac:dyDescent="0.25">
      <c r="A169" s="386" t="s">
        <v>675</v>
      </c>
      <c r="B169" s="319"/>
      <c r="C169" s="522"/>
      <c r="D169" s="319"/>
      <c r="E169" s="522">
        <v>35722.51</v>
      </c>
      <c r="F169" s="586"/>
    </row>
    <row r="170" spans="1:9" ht="15.75" x14ac:dyDescent="0.25">
      <c r="A170" s="386" t="s">
        <v>694</v>
      </c>
      <c r="B170" s="319"/>
      <c r="C170" s="522"/>
      <c r="D170" s="319">
        <v>728600</v>
      </c>
      <c r="E170" s="522"/>
      <c r="F170" s="586"/>
    </row>
    <row r="171" spans="1:9" ht="15.75" x14ac:dyDescent="0.25">
      <c r="A171" s="386" t="s">
        <v>469</v>
      </c>
      <c r="B171" s="319"/>
      <c r="C171" s="522"/>
      <c r="D171" s="319"/>
      <c r="E171" s="522"/>
      <c r="F171" s="586"/>
      <c r="I171" s="44">
        <v>118632.78</v>
      </c>
    </row>
    <row r="172" spans="1:9" ht="15.75" x14ac:dyDescent="0.25">
      <c r="A172" s="386" t="s">
        <v>578</v>
      </c>
      <c r="B172" s="319"/>
      <c r="C172" s="522"/>
      <c r="D172" s="319">
        <v>1514000</v>
      </c>
      <c r="E172" s="522">
        <v>1514000</v>
      </c>
      <c r="F172" s="586"/>
    </row>
    <row r="173" spans="1:9" ht="16.5" thickBot="1" x14ac:dyDescent="0.3">
      <c r="A173" s="386" t="s">
        <v>129</v>
      </c>
      <c r="B173" s="396"/>
      <c r="C173" s="529">
        <v>3135672.35</v>
      </c>
      <c r="D173" s="396">
        <v>850000</v>
      </c>
      <c r="E173" s="590">
        <v>708562.13</v>
      </c>
      <c r="F173" s="586"/>
    </row>
    <row r="174" spans="1:9" ht="24" thickBot="1" x14ac:dyDescent="0.4">
      <c r="A174" s="403" t="s">
        <v>130</v>
      </c>
      <c r="B174" s="454">
        <f>B3+B128+B164</f>
        <v>16035840.119999999</v>
      </c>
      <c r="C174" s="454">
        <f>C164+C128+C3</f>
        <v>19199066.469999999</v>
      </c>
      <c r="D174" s="404">
        <f>D164+D128+D3</f>
        <v>25015269</v>
      </c>
      <c r="E174" s="454">
        <f>E164+E128+E3</f>
        <v>23180399.07</v>
      </c>
      <c r="F174" s="586"/>
      <c r="G174" s="65"/>
    </row>
    <row r="175" spans="1:9" ht="15.75" x14ac:dyDescent="0.25">
      <c r="A175" s="405"/>
    </row>
    <row r="176" spans="1:9" x14ac:dyDescent="0.25">
      <c r="A176" s="407"/>
    </row>
    <row r="177" spans="1:1" x14ac:dyDescent="0.25">
      <c r="A177" s="408"/>
    </row>
  </sheetData>
  <sheetProtection selectLockedCells="1" selectUnlockedCells="1"/>
  <mergeCells count="1">
    <mergeCell ref="A1:E1"/>
  </mergeCells>
  <phoneticPr fontId="0" type="noConversion"/>
  <pageMargins left="1.1811023622047245" right="0" top="0" bottom="0" header="0.51181102362204722" footer="0.51181102362204722"/>
  <pageSetup paperSize="8" scale="55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2"/>
  <sheetViews>
    <sheetView topLeftCell="B1" zoomScale="80" zoomScaleNormal="80" workbookViewId="0">
      <pane xSplit="2" ySplit="9" topLeftCell="D136" activePane="bottomRight" state="frozen"/>
      <selection activeCell="B1" sqref="B1"/>
      <selection pane="topRight" activeCell="T1" sqref="T1"/>
      <selection pane="bottomLeft" activeCell="B163" sqref="B163"/>
      <selection pane="bottomRight" activeCell="F138" sqref="F138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32.7109375" style="149" customWidth="1"/>
    <col min="4" max="4" width="14.85546875" style="294" bestFit="1" customWidth="1"/>
    <col min="5" max="5" width="12.7109375" style="149" bestFit="1" customWidth="1"/>
    <col min="6" max="6" width="11.5703125" style="149" bestFit="1" customWidth="1"/>
    <col min="7" max="7" width="11.42578125" style="149" bestFit="1" customWidth="1"/>
    <col min="8" max="9" width="12.7109375" style="149" bestFit="1" customWidth="1"/>
    <col min="10" max="11" width="11.42578125" style="149" customWidth="1"/>
    <col min="12" max="13" width="12.7109375" style="149" bestFit="1" customWidth="1"/>
    <col min="14" max="15" width="11.42578125" style="149" customWidth="1"/>
    <col min="16" max="17" width="12.7109375" style="149" bestFit="1" customWidth="1"/>
    <col min="18" max="18" width="11.42578125" style="294" customWidth="1"/>
    <col min="19" max="19" width="11.42578125" style="149" customWidth="1"/>
    <col min="20" max="16384" width="9.140625" style="149"/>
  </cols>
  <sheetData>
    <row r="1" spans="1:19" x14ac:dyDescent="0.2">
      <c r="A1" s="145"/>
    </row>
    <row r="2" spans="1:19" ht="15.75" x14ac:dyDescent="0.25">
      <c r="A2" s="145"/>
      <c r="B2" s="146"/>
      <c r="C2" s="147"/>
    </row>
    <row r="3" spans="1:19" ht="27.75" x14ac:dyDescent="0.4">
      <c r="A3" s="148"/>
      <c r="B3" s="850" t="s">
        <v>792</v>
      </c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</row>
    <row r="4" spans="1:19" ht="7.5" customHeight="1" thickBot="1" x14ac:dyDescent="0.25">
      <c r="A4" s="148"/>
      <c r="C4" s="157"/>
    </row>
    <row r="5" spans="1:19" ht="13.5" customHeight="1" thickBot="1" x14ac:dyDescent="0.25">
      <c r="A5" s="148"/>
      <c r="D5" s="861" t="s">
        <v>527</v>
      </c>
      <c r="E5" s="862"/>
      <c r="F5" s="862"/>
      <c r="G5" s="862"/>
      <c r="H5" s="862" t="s">
        <v>653</v>
      </c>
      <c r="I5" s="862"/>
      <c r="J5" s="862"/>
      <c r="K5" s="864"/>
      <c r="L5" s="851" t="s">
        <v>560</v>
      </c>
      <c r="M5" s="852"/>
      <c r="N5" s="852"/>
      <c r="O5" s="852"/>
      <c r="P5" s="851" t="s">
        <v>654</v>
      </c>
      <c r="Q5" s="852"/>
      <c r="R5" s="852"/>
      <c r="S5" s="855"/>
    </row>
    <row r="6" spans="1:19" ht="21" customHeight="1" x14ac:dyDescent="0.2">
      <c r="A6" s="148"/>
      <c r="B6" s="857" t="s">
        <v>413</v>
      </c>
      <c r="C6" s="858"/>
      <c r="D6" s="863"/>
      <c r="E6" s="854"/>
      <c r="F6" s="854"/>
      <c r="G6" s="854"/>
      <c r="H6" s="854"/>
      <c r="I6" s="854"/>
      <c r="J6" s="854"/>
      <c r="K6" s="865"/>
      <c r="L6" s="853"/>
      <c r="M6" s="854"/>
      <c r="N6" s="854"/>
      <c r="O6" s="854"/>
      <c r="P6" s="853"/>
      <c r="Q6" s="854"/>
      <c r="R6" s="854"/>
      <c r="S6" s="856"/>
    </row>
    <row r="7" spans="1:19" ht="24.75" thickBot="1" x14ac:dyDescent="0.25">
      <c r="A7" s="148"/>
      <c r="B7" s="859"/>
      <c r="C7" s="860"/>
      <c r="D7" s="295" t="s">
        <v>398</v>
      </c>
      <c r="E7" s="295" t="s">
        <v>416</v>
      </c>
      <c r="F7" s="295" t="s">
        <v>407</v>
      </c>
      <c r="G7" s="470" t="s">
        <v>408</v>
      </c>
      <c r="H7" s="499" t="s">
        <v>398</v>
      </c>
      <c r="I7" s="499" t="s">
        <v>416</v>
      </c>
      <c r="J7" s="499" t="s">
        <v>407</v>
      </c>
      <c r="K7" s="498" t="s">
        <v>408</v>
      </c>
      <c r="L7" s="484" t="s">
        <v>398</v>
      </c>
      <c r="M7" s="491" t="s">
        <v>416</v>
      </c>
      <c r="N7" s="491" t="s">
        <v>417</v>
      </c>
      <c r="O7" s="531" t="s">
        <v>408</v>
      </c>
      <c r="P7" s="484" t="s">
        <v>398</v>
      </c>
      <c r="Q7" s="491" t="s">
        <v>416</v>
      </c>
      <c r="R7" s="491" t="s">
        <v>417</v>
      </c>
      <c r="S7" s="483" t="s">
        <v>408</v>
      </c>
    </row>
    <row r="8" spans="1:19" ht="24" customHeight="1" thickBot="1" x14ac:dyDescent="0.3">
      <c r="A8" s="148"/>
      <c r="B8" s="340" t="s">
        <v>147</v>
      </c>
      <c r="C8" s="341"/>
      <c r="D8" s="301">
        <f>SUM(E8:G8)</f>
        <v>15282510.329999998</v>
      </c>
      <c r="E8" s="302">
        <f>E10+E24+E38+E48+E54+E70+E78+E93+E97+E122+E133+E142+E154+E179+E180</f>
        <v>12875160.679999998</v>
      </c>
      <c r="F8" s="302">
        <f>F10+F24+F38+F48+F54+F70+F78+F93+F97+F122+F133+F142+F154+F179+F180</f>
        <v>1207903.43</v>
      </c>
      <c r="G8" s="471">
        <f>G10+G24+G38+G48+G54+G70+G78+G93+G97+G122+G133+G142+G154+G179+G180</f>
        <v>1199446.22</v>
      </c>
      <c r="H8" s="326">
        <f>SUM(I8:K8)</f>
        <v>18444347.030000001</v>
      </c>
      <c r="I8" s="500">
        <f>I10+I24+I38+I48+I54+I70+I78+I93+I97+I122+I133+I142+I154+I179+I180</f>
        <v>13839112.5</v>
      </c>
      <c r="J8" s="500">
        <f t="shared" ref="J8:K8" si="0">J10+J24+J38+J48+J54+J70+J78+J93+J97+J122+J133+J142+J154+J179+J180</f>
        <v>1274924.6299999999</v>
      </c>
      <c r="K8" s="500">
        <f t="shared" si="0"/>
        <v>3330309.9000000004</v>
      </c>
      <c r="L8" s="485">
        <f>SUM(M8:O8)</f>
        <v>24217064</v>
      </c>
      <c r="M8" s="492">
        <f>M10+M24+M38+M48+M54+M70+M78+M93+M97+M122+M133+M142+M154+M179+M180</f>
        <v>16962234</v>
      </c>
      <c r="N8" s="492">
        <f t="shared" ref="N8:O8" si="1">N10+N24+N38+N48+N54+N70+N78+N93+N97+N122+N133+N142+N154+N179+N180</f>
        <v>6933530</v>
      </c>
      <c r="O8" s="532">
        <f t="shared" si="1"/>
        <v>321300</v>
      </c>
      <c r="P8" s="485">
        <f>SUM(Q8:S8)</f>
        <v>22536886.57</v>
      </c>
      <c r="Q8" s="492">
        <f>Q10+Q24+Q38+Q48+Q54+Q70+Q78+Q93+Q97+Q122+Q133+Q142+Q154+Q179+Q180</f>
        <v>15984888.049999999</v>
      </c>
      <c r="R8" s="492">
        <f t="shared" ref="R8:S8" si="2">R10+R24+R38+R48+R54+R70+R78+R93+R97+R122+R133+R142+R154+R179+R180</f>
        <v>6241945.2699999996</v>
      </c>
      <c r="S8" s="535">
        <f t="shared" si="2"/>
        <v>310053.25</v>
      </c>
    </row>
    <row r="9" spans="1:19" ht="13.5" thickBot="1" x14ac:dyDescent="0.25">
      <c r="A9" s="148"/>
      <c r="B9" s="296" t="s">
        <v>148</v>
      </c>
      <c r="C9" s="297"/>
      <c r="D9" s="151"/>
      <c r="E9" s="153"/>
      <c r="F9" s="152"/>
      <c r="G9" s="153"/>
      <c r="H9" s="486"/>
      <c r="I9" s="493"/>
      <c r="J9" s="493"/>
      <c r="K9" s="482"/>
      <c r="L9" s="486"/>
      <c r="M9" s="493"/>
      <c r="N9" s="493"/>
      <c r="O9" s="150"/>
      <c r="P9" s="536"/>
      <c r="Q9" s="493"/>
      <c r="R9" s="493"/>
      <c r="S9" s="537"/>
    </row>
    <row r="10" spans="1:19" ht="15.75" x14ac:dyDescent="0.25">
      <c r="A10" s="148"/>
      <c r="B10" s="342" t="s">
        <v>149</v>
      </c>
      <c r="C10" s="343"/>
      <c r="D10" s="306">
        <f>D11+D16+D20+D21+D22+D23</f>
        <v>342634.08999999997</v>
      </c>
      <c r="E10" s="305">
        <f>E11+E16+E20+E21+E22+E23</f>
        <v>241441.76000000004</v>
      </c>
      <c r="F10" s="305">
        <f t="shared" ref="F10:G10" si="3">F11+F16+F20+F21+F22+F23</f>
        <v>101192.33</v>
      </c>
      <c r="G10" s="331">
        <f t="shared" si="3"/>
        <v>0</v>
      </c>
      <c r="H10" s="332">
        <f>H11+H16+H20+H21+H22+H23</f>
        <v>363361.23000000004</v>
      </c>
      <c r="I10" s="333">
        <f t="shared" ref="I10:K10" si="4">I11+I16+I20+I21+I22+I23</f>
        <v>240663.11000000002</v>
      </c>
      <c r="J10" s="333">
        <f t="shared" si="4"/>
        <v>122698.12</v>
      </c>
      <c r="K10" s="434">
        <f t="shared" si="4"/>
        <v>0</v>
      </c>
      <c r="L10" s="332">
        <f>L11+L16+L20+L21+L22+L23</f>
        <v>481733</v>
      </c>
      <c r="M10" s="333">
        <f t="shared" ref="M10:O10" si="5">M11+M16+M20+M21+M22+M23</f>
        <v>323920</v>
      </c>
      <c r="N10" s="333">
        <f t="shared" si="5"/>
        <v>157813</v>
      </c>
      <c r="O10" s="434">
        <f t="shared" si="5"/>
        <v>0</v>
      </c>
      <c r="P10" s="332">
        <f>P11+P16+P20+P21+P22+P23</f>
        <v>420876.35</v>
      </c>
      <c r="Q10" s="333">
        <f t="shared" ref="Q10:S10" si="6">Q11+Q16+Q20+Q21+Q22+Q23</f>
        <v>284178.18000000005</v>
      </c>
      <c r="R10" s="333">
        <f t="shared" si="6"/>
        <v>136698.16999999998</v>
      </c>
      <c r="S10" s="334">
        <f t="shared" si="6"/>
        <v>0</v>
      </c>
    </row>
    <row r="11" spans="1:19" ht="15.75" x14ac:dyDescent="0.25">
      <c r="A11" s="148"/>
      <c r="B11" s="344" t="s">
        <v>150</v>
      </c>
      <c r="C11" s="345" t="s">
        <v>151</v>
      </c>
      <c r="D11" s="308">
        <f>SUM(D12:D15)</f>
        <v>143285.20000000001</v>
      </c>
      <c r="E11" s="307">
        <f t="shared" ref="E11:G11" si="7">SUM(E12:E15)</f>
        <v>143285.20000000001</v>
      </c>
      <c r="F11" s="307">
        <f t="shared" si="7"/>
        <v>0</v>
      </c>
      <c r="G11" s="325">
        <f t="shared" si="7"/>
        <v>0</v>
      </c>
      <c r="H11" s="315">
        <f>SUM(H12:H15)</f>
        <v>147659.53</v>
      </c>
      <c r="I11" s="309">
        <f t="shared" ref="I11:K11" si="8">SUM(I12:I15)</f>
        <v>147659.53</v>
      </c>
      <c r="J11" s="309">
        <f t="shared" si="8"/>
        <v>0</v>
      </c>
      <c r="K11" s="338">
        <f t="shared" si="8"/>
        <v>0</v>
      </c>
      <c r="L11" s="315">
        <f>SUM(L12:L15)</f>
        <v>186990</v>
      </c>
      <c r="M11" s="309">
        <f t="shared" ref="M11:O11" si="9">SUM(M12:M15)</f>
        <v>186990</v>
      </c>
      <c r="N11" s="309">
        <f t="shared" si="9"/>
        <v>0</v>
      </c>
      <c r="O11" s="338">
        <f t="shared" si="9"/>
        <v>0</v>
      </c>
      <c r="P11" s="315">
        <f>SUM(P12:P15)</f>
        <v>176475.43000000002</v>
      </c>
      <c r="Q11" s="309">
        <f t="shared" ref="Q11:S11" si="10">SUM(Q12:Q15)</f>
        <v>176475.43000000002</v>
      </c>
      <c r="R11" s="309">
        <f t="shared" si="10"/>
        <v>0</v>
      </c>
      <c r="S11" s="310">
        <f t="shared" si="10"/>
        <v>0</v>
      </c>
    </row>
    <row r="12" spans="1:19" ht="15.75" x14ac:dyDescent="0.25">
      <c r="A12" s="148"/>
      <c r="B12" s="344">
        <v>1</v>
      </c>
      <c r="C12" s="345" t="s">
        <v>152</v>
      </c>
      <c r="D12" s="308">
        <f>SUM(E12:G12)</f>
        <v>58582.110000000008</v>
      </c>
      <c r="E12" s="307">
        <f>'[1]1.Plánovanie, manažment a kontr'!$T$5</f>
        <v>58582.110000000008</v>
      </c>
      <c r="F12" s="307">
        <f>'[1]1.Plánovanie, manažment a kontr'!$U$5</f>
        <v>0</v>
      </c>
      <c r="G12" s="325">
        <f>'[1]1.Plánovanie, manažment a kontr'!$V$5</f>
        <v>0</v>
      </c>
      <c r="H12" s="315">
        <f>SUM(I12:K12)</f>
        <v>66603.259999999995</v>
      </c>
      <c r="I12" s="309">
        <f>'[2]1.Plánovanie, manažment a kontr'!$N$5</f>
        <v>66603.259999999995</v>
      </c>
      <c r="J12" s="309">
        <f>'[2]1.Plánovanie, manažment a kontr'!$O$5</f>
        <v>0</v>
      </c>
      <c r="K12" s="338">
        <f>'[2]1.Plánovanie, manažment a kontr'!$P$5</f>
        <v>0</v>
      </c>
      <c r="L12" s="315">
        <f>SUM(M12:O12)</f>
        <v>73535</v>
      </c>
      <c r="M12" s="309">
        <f>'[2]1.Plánovanie, manažment a kontr'!$Q$5</f>
        <v>73535</v>
      </c>
      <c r="N12" s="309">
        <f>'[2]1.Plánovanie, manažment a kontr'!$R$5</f>
        <v>0</v>
      </c>
      <c r="O12" s="338">
        <f>'[2]1.Plánovanie, manažment a kontr'!$S$5</f>
        <v>0</v>
      </c>
      <c r="P12" s="315">
        <f>SUM(Q12:S12)</f>
        <v>73126.780000000013</v>
      </c>
      <c r="Q12" s="309">
        <f>'[2]1.Plánovanie, manažment a kontr'!$T$5</f>
        <v>73126.780000000013</v>
      </c>
      <c r="R12" s="309">
        <f>'[2]1.Plánovanie, manažment a kontr'!$U$5</f>
        <v>0</v>
      </c>
      <c r="S12" s="310">
        <f>'[2]1.Plánovanie, manažment a kontr'!$V$5</f>
        <v>0</v>
      </c>
    </row>
    <row r="13" spans="1:19" ht="15.75" x14ac:dyDescent="0.25">
      <c r="A13" s="154"/>
      <c r="B13" s="344">
        <v>2</v>
      </c>
      <c r="C13" s="345" t="s">
        <v>153</v>
      </c>
      <c r="D13" s="308">
        <f>SUM(E13:G13)</f>
        <v>31562.02</v>
      </c>
      <c r="E13" s="307">
        <f>'[1]1.Plánovanie, manažment a kontr'!$T$16</f>
        <v>31562.02</v>
      </c>
      <c r="F13" s="307">
        <f>'[1]1.Plánovanie, manažment a kontr'!$U$16</f>
        <v>0</v>
      </c>
      <c r="G13" s="325">
        <f>'[1]1.Plánovanie, manažment a kontr'!$V$16</f>
        <v>0</v>
      </c>
      <c r="H13" s="315">
        <f t="shared" ref="H13:H15" si="11">SUM(I13:K13)</f>
        <v>33301.229999999996</v>
      </c>
      <c r="I13" s="309">
        <f>'[2]1.Plánovanie, manažment a kontr'!$N$16</f>
        <v>33301.229999999996</v>
      </c>
      <c r="J13" s="309">
        <f>'[2]1.Plánovanie, manažment a kontr'!$O$16</f>
        <v>0</v>
      </c>
      <c r="K13" s="338">
        <f>'[2]1.Plánovanie, manažment a kontr'!$P$16</f>
        <v>0</v>
      </c>
      <c r="L13" s="315">
        <f>SUM(M13:O13)</f>
        <v>39955</v>
      </c>
      <c r="M13" s="309">
        <f>'[2]1.Plánovanie, manažment a kontr'!$Q$16</f>
        <v>39955</v>
      </c>
      <c r="N13" s="309">
        <f>'[2]1.Plánovanie, manažment a kontr'!$R$16</f>
        <v>0</v>
      </c>
      <c r="O13" s="338">
        <f>'[2]1.Plánovanie, manažment a kontr'!$S$16</f>
        <v>0</v>
      </c>
      <c r="P13" s="315">
        <f>SUM(Q13:S13)</f>
        <v>39538.14</v>
      </c>
      <c r="Q13" s="309">
        <f>'[2]1.Plánovanie, manažment a kontr'!$T$16</f>
        <v>39538.14</v>
      </c>
      <c r="R13" s="309">
        <f>'[2]1.Plánovanie, manažment a kontr'!$U$16</f>
        <v>0</v>
      </c>
      <c r="S13" s="310">
        <f>'[2]1.Plánovanie, manažment a kontr'!$V$16</f>
        <v>0</v>
      </c>
    </row>
    <row r="14" spans="1:19" ht="15.75" x14ac:dyDescent="0.25">
      <c r="A14" s="154"/>
      <c r="B14" s="344">
        <v>3</v>
      </c>
      <c r="C14" s="346" t="s">
        <v>154</v>
      </c>
      <c r="D14" s="308">
        <f>SUM(E14:G14)</f>
        <v>50161.270000000004</v>
      </c>
      <c r="E14" s="307">
        <f>'[1]1.Plánovanie, manažment a kontr'!$T$27</f>
        <v>50161.270000000004</v>
      </c>
      <c r="F14" s="307">
        <f>'[1]1.Plánovanie, manažment a kontr'!$U$27</f>
        <v>0</v>
      </c>
      <c r="G14" s="325">
        <f>'[1]1.Plánovanie, manažment a kontr'!$V$27</f>
        <v>0</v>
      </c>
      <c r="H14" s="315">
        <f t="shared" si="11"/>
        <v>45254.14</v>
      </c>
      <c r="I14" s="309">
        <f>'[2]1.Plánovanie, manažment a kontr'!$N$27</f>
        <v>45254.14</v>
      </c>
      <c r="J14" s="309">
        <f>'[2]1.Plánovanie, manažment a kontr'!$O$27</f>
        <v>0</v>
      </c>
      <c r="K14" s="338">
        <f>'[2]1.Plánovanie, manažment a kontr'!$P$27</f>
        <v>0</v>
      </c>
      <c r="L14" s="315">
        <f>SUM(M14:O14)</f>
        <v>68700</v>
      </c>
      <c r="M14" s="309">
        <f>'[2]1.Plánovanie, manažment a kontr'!$Q$27</f>
        <v>68700</v>
      </c>
      <c r="N14" s="309">
        <f>'[2]1.Plánovanie, manažment a kontr'!$R$27</f>
        <v>0</v>
      </c>
      <c r="O14" s="338">
        <f>'[2]1.Plánovanie, manažment a kontr'!$S$27</f>
        <v>0</v>
      </c>
      <c r="P14" s="315">
        <f>SUM(Q14:S14)</f>
        <v>59966.950000000004</v>
      </c>
      <c r="Q14" s="309">
        <f>'[2]1.Plánovanie, manažment a kontr'!$T$27</f>
        <v>59966.950000000004</v>
      </c>
      <c r="R14" s="309">
        <f>'[2]1.Plánovanie, manažment a kontr'!$U$27</f>
        <v>0</v>
      </c>
      <c r="S14" s="310">
        <f>'[2]1.Plánovanie, manažment a kontr'!$V$27</f>
        <v>0</v>
      </c>
    </row>
    <row r="15" spans="1:19" ht="15.75" x14ac:dyDescent="0.25">
      <c r="A15" s="154"/>
      <c r="B15" s="344">
        <v>4</v>
      </c>
      <c r="C15" s="346" t="s">
        <v>155</v>
      </c>
      <c r="D15" s="308">
        <f>SUM(E15:G15)</f>
        <v>2979.8</v>
      </c>
      <c r="E15" s="307">
        <f>'[1]1.Plánovanie, manažment a kontr'!$T$32</f>
        <v>2979.8</v>
      </c>
      <c r="F15" s="307">
        <f>'[1]1.Plánovanie, manažment a kontr'!$U$32</f>
        <v>0</v>
      </c>
      <c r="G15" s="325">
        <f>'[1]1.Plánovanie, manažment a kontr'!$V$32</f>
        <v>0</v>
      </c>
      <c r="H15" s="315">
        <f t="shared" si="11"/>
        <v>2500.8999999999996</v>
      </c>
      <c r="I15" s="309">
        <f>'[2]1.Plánovanie, manažment a kontr'!$N$32</f>
        <v>2500.8999999999996</v>
      </c>
      <c r="J15" s="309">
        <f>'[2]1.Plánovanie, manažment a kontr'!$O$32</f>
        <v>0</v>
      </c>
      <c r="K15" s="338">
        <f>'[2]1.Plánovanie, manažment a kontr'!$P$32</f>
        <v>0</v>
      </c>
      <c r="L15" s="315">
        <f>SUM(M15:O15)</f>
        <v>4800</v>
      </c>
      <c r="M15" s="309">
        <f>'[2]1.Plánovanie, manažment a kontr'!$Q$32</f>
        <v>4800</v>
      </c>
      <c r="N15" s="309">
        <f>'[2]1.Plánovanie, manažment a kontr'!$R$32</f>
        <v>0</v>
      </c>
      <c r="O15" s="338">
        <f>'[2]1.Plánovanie, manažment a kontr'!$S$32</f>
        <v>0</v>
      </c>
      <c r="P15" s="315">
        <f>SUM(Q15:S15)</f>
        <v>3843.56</v>
      </c>
      <c r="Q15" s="309">
        <f>'[2]1.Plánovanie, manažment a kontr'!$T$32</f>
        <v>3843.56</v>
      </c>
      <c r="R15" s="309">
        <f>'[2]1.Plánovanie, manažment a kontr'!$U$32</f>
        <v>0</v>
      </c>
      <c r="S15" s="310">
        <f>'[2]1.Plánovanie, manažment a kontr'!$V$32</f>
        <v>0</v>
      </c>
    </row>
    <row r="16" spans="1:19" ht="15.75" x14ac:dyDescent="0.25">
      <c r="A16" s="154"/>
      <c r="B16" s="344" t="s">
        <v>156</v>
      </c>
      <c r="C16" s="346" t="s">
        <v>157</v>
      </c>
      <c r="D16" s="308">
        <f t="shared" ref="D16:G16" si="12">SUM(D17:D19)</f>
        <v>140636.53</v>
      </c>
      <c r="E16" s="307">
        <f t="shared" si="12"/>
        <v>39444.200000000004</v>
      </c>
      <c r="F16" s="307">
        <f t="shared" si="12"/>
        <v>101192.33</v>
      </c>
      <c r="G16" s="325">
        <f t="shared" si="12"/>
        <v>0</v>
      </c>
      <c r="H16" s="315">
        <f>SUM(H17:H19)</f>
        <v>142203.38</v>
      </c>
      <c r="I16" s="309">
        <f t="shared" ref="I16:K16" si="13">SUM(I17:I19)</f>
        <v>19505.260000000002</v>
      </c>
      <c r="J16" s="309">
        <f t="shared" si="13"/>
        <v>122698.12</v>
      </c>
      <c r="K16" s="338">
        <f t="shared" si="13"/>
        <v>0</v>
      </c>
      <c r="L16" s="315">
        <f>SUM(L17:L19)</f>
        <v>205458</v>
      </c>
      <c r="M16" s="309">
        <f t="shared" ref="M16:O16" si="14">SUM(M17:M19)</f>
        <v>47645</v>
      </c>
      <c r="N16" s="309">
        <f t="shared" si="14"/>
        <v>157813</v>
      </c>
      <c r="O16" s="338">
        <f t="shared" si="14"/>
        <v>0</v>
      </c>
      <c r="P16" s="315">
        <f>SUM(P17:P19)</f>
        <v>156045.19</v>
      </c>
      <c r="Q16" s="309">
        <f t="shared" ref="Q16:S16" si="15">SUM(Q17:Q19)</f>
        <v>19347.02</v>
      </c>
      <c r="R16" s="309">
        <f t="shared" si="15"/>
        <v>136698.16999999998</v>
      </c>
      <c r="S16" s="310">
        <f t="shared" si="15"/>
        <v>0</v>
      </c>
    </row>
    <row r="17" spans="1:19" ht="15.75" x14ac:dyDescent="0.25">
      <c r="A17" s="154"/>
      <c r="B17" s="344">
        <v>1</v>
      </c>
      <c r="C17" s="346" t="s">
        <v>158</v>
      </c>
      <c r="D17" s="308">
        <f t="shared" ref="D17:D23" si="16">SUM(E17:G17)</f>
        <v>28184.91</v>
      </c>
      <c r="E17" s="307">
        <f>'[1]1.Plánovanie, manažment a kontr'!$T$39</f>
        <v>28184.91</v>
      </c>
      <c r="F17" s="307">
        <f>'[1]1.Plánovanie, manažment a kontr'!$U$39</f>
        <v>0</v>
      </c>
      <c r="G17" s="325">
        <f>'[1]1.Plánovanie, manažment a kontr'!$V$39</f>
        <v>0</v>
      </c>
      <c r="H17" s="315">
        <f>SUM(I17:K17)</f>
        <v>11465.310000000001</v>
      </c>
      <c r="I17" s="309">
        <f>'[2]1.Plánovanie, manažment a kontr'!$N$39</f>
        <v>11465.310000000001</v>
      </c>
      <c r="J17" s="309">
        <f>'[2]1.Plánovanie, manažment a kontr'!$O$39</f>
        <v>0</v>
      </c>
      <c r="K17" s="338">
        <f>'[2]1.Plánovanie, manažment a kontr'!$P$39</f>
        <v>0</v>
      </c>
      <c r="L17" s="315">
        <f>SUM(M17:O17)</f>
        <v>40495</v>
      </c>
      <c r="M17" s="309">
        <f>'[2]1.Plánovanie, manažment a kontr'!$Q$39</f>
        <v>40495</v>
      </c>
      <c r="N17" s="309">
        <f>'[2]1.Plánovanie, manažment a kontr'!$R$39</f>
        <v>0</v>
      </c>
      <c r="O17" s="338">
        <f>'[2]1.Plánovanie, manažment a kontr'!$S$39</f>
        <v>0</v>
      </c>
      <c r="P17" s="315">
        <f>SUM(Q17:S17)</f>
        <v>18873.04</v>
      </c>
      <c r="Q17" s="309">
        <f>'[2]1.Plánovanie, manažment a kontr'!$T$39</f>
        <v>18873.04</v>
      </c>
      <c r="R17" s="309">
        <f>'[2]1.Plánovanie, manažment a kontr'!$U$39</f>
        <v>0</v>
      </c>
      <c r="S17" s="310">
        <f>'[2]1.Plánovanie, manažment a kontr'!$V$39</f>
        <v>0</v>
      </c>
    </row>
    <row r="18" spans="1:19" ht="15.75" x14ac:dyDescent="0.25">
      <c r="A18" s="154"/>
      <c r="B18" s="344">
        <v>2</v>
      </c>
      <c r="C18" s="346" t="s">
        <v>159</v>
      </c>
      <c r="D18" s="308">
        <f t="shared" si="16"/>
        <v>10092</v>
      </c>
      <c r="E18" s="307">
        <f>'[1]1.Plánovanie, manažment a kontr'!$T$52</f>
        <v>10092</v>
      </c>
      <c r="F18" s="307">
        <f>'[1]1.Plánovanie, manažment a kontr'!$U$52</f>
        <v>0</v>
      </c>
      <c r="G18" s="325">
        <f>'[1]1.Plánovanie, manažment a kontr'!$V$52</f>
        <v>0</v>
      </c>
      <c r="H18" s="315">
        <f t="shared" ref="H18:H23" si="17">SUM(I18:K18)</f>
        <v>6420</v>
      </c>
      <c r="I18" s="309">
        <f>'[2]1.Plánovanie, manažment a kontr'!$N$52</f>
        <v>6420</v>
      </c>
      <c r="J18" s="309">
        <f>'[2]1.Plánovanie, manažment a kontr'!$O$52</f>
        <v>0</v>
      </c>
      <c r="K18" s="338">
        <f>'[2]1.Plánovanie, manažment a kontr'!$P$52</f>
        <v>0</v>
      </c>
      <c r="L18" s="315">
        <f>SUM(M18:O18)</f>
        <v>77500</v>
      </c>
      <c r="M18" s="309">
        <f>'[2]1.Plánovanie, manažment a kontr'!$Q$52</f>
        <v>2500</v>
      </c>
      <c r="N18" s="309">
        <f>'[2]1.Plánovanie, manažment a kontr'!$R$52</f>
        <v>75000</v>
      </c>
      <c r="O18" s="338">
        <f>'[2]1.Plánovanie, manažment a kontr'!$S$52</f>
        <v>0</v>
      </c>
      <c r="P18" s="315">
        <f>SUM(Q18:S18)</f>
        <v>68928</v>
      </c>
      <c r="Q18" s="309">
        <f>'[2]1.Plánovanie, manažment a kontr'!$T$52</f>
        <v>0</v>
      </c>
      <c r="R18" s="309">
        <f>'[2]1.Plánovanie, manažment a kontr'!$U$52</f>
        <v>68928</v>
      </c>
      <c r="S18" s="310">
        <f>'[2]1.Plánovanie, manažment a kontr'!$V$52</f>
        <v>0</v>
      </c>
    </row>
    <row r="19" spans="1:19" ht="15.75" x14ac:dyDescent="0.25">
      <c r="A19" s="154"/>
      <c r="B19" s="344">
        <v>3</v>
      </c>
      <c r="C19" s="346" t="s">
        <v>160</v>
      </c>
      <c r="D19" s="308">
        <f t="shared" si="16"/>
        <v>102359.62</v>
      </c>
      <c r="E19" s="307">
        <f>'[1]1.Plánovanie, manažment a kontr'!$T$55</f>
        <v>1167.29</v>
      </c>
      <c r="F19" s="307">
        <f>'[1]1.Plánovanie, manažment a kontr'!$U$55</f>
        <v>101192.33</v>
      </c>
      <c r="G19" s="325">
        <f>'[1]1.Plánovanie, manažment a kontr'!$V$55</f>
        <v>0</v>
      </c>
      <c r="H19" s="315">
        <f t="shared" si="17"/>
        <v>124318.06999999999</v>
      </c>
      <c r="I19" s="309">
        <f>'[2]1.Plánovanie, manažment a kontr'!$N$56</f>
        <v>1619.9499999999998</v>
      </c>
      <c r="J19" s="309">
        <f>'[2]1.Plánovanie, manažment a kontr'!$O$56</f>
        <v>122698.12</v>
      </c>
      <c r="K19" s="338">
        <f>'[2]1.Plánovanie, manažment a kontr'!$P$56</f>
        <v>0</v>
      </c>
      <c r="L19" s="315">
        <f t="shared" ref="L19:L23" si="18">SUM(M19:O19)</f>
        <v>87463</v>
      </c>
      <c r="M19" s="309">
        <f>'[2]1.Plánovanie, manažment a kontr'!$Q$56</f>
        <v>4650</v>
      </c>
      <c r="N19" s="309">
        <f>'[2]1.Plánovanie, manažment a kontr'!$R$56</f>
        <v>82813</v>
      </c>
      <c r="O19" s="338">
        <f>'[2]1.Plánovanie, manažment a kontr'!$S$56</f>
        <v>0</v>
      </c>
      <c r="P19" s="315">
        <f t="shared" ref="P19:P23" si="19">SUM(Q19:S19)</f>
        <v>68244.149999999994</v>
      </c>
      <c r="Q19" s="309">
        <f>'[2]1.Plánovanie, manažment a kontr'!$T$56</f>
        <v>473.97999999999996</v>
      </c>
      <c r="R19" s="309">
        <f>'[2]1.Plánovanie, manažment a kontr'!$U$56</f>
        <v>67770.17</v>
      </c>
      <c r="S19" s="310">
        <f>'[2]1.Plánovanie, manažment a kontr'!$V$56</f>
        <v>0</v>
      </c>
    </row>
    <row r="20" spans="1:19" ht="15.75" x14ac:dyDescent="0.25">
      <c r="A20" s="150"/>
      <c r="B20" s="344" t="s">
        <v>161</v>
      </c>
      <c r="C20" s="346" t="s">
        <v>162</v>
      </c>
      <c r="D20" s="308">
        <f t="shared" si="16"/>
        <v>49891.97</v>
      </c>
      <c r="E20" s="307">
        <f>'[1]1.Plánovanie, manažment a kontr'!$T$67</f>
        <v>49891.97</v>
      </c>
      <c r="F20" s="307">
        <f>'[1]1.Plánovanie, manažment a kontr'!$U$67</f>
        <v>0</v>
      </c>
      <c r="G20" s="325">
        <f>'[1]1.Plánovanie, manažment a kontr'!$V$67</f>
        <v>0</v>
      </c>
      <c r="H20" s="315">
        <f t="shared" si="17"/>
        <v>62791.450000000004</v>
      </c>
      <c r="I20" s="309">
        <f>'[2]1.Plánovanie, manažment a kontr'!$N$68</f>
        <v>62791.450000000004</v>
      </c>
      <c r="J20" s="309">
        <f>'[2]1.Plánovanie, manažment a kontr'!$O$68</f>
        <v>0</v>
      </c>
      <c r="K20" s="338">
        <f>'[2]1.Plánovanie, manažment a kontr'!$P$68</f>
        <v>0</v>
      </c>
      <c r="L20" s="315">
        <f t="shared" si="18"/>
        <v>76665</v>
      </c>
      <c r="M20" s="309">
        <f>'[2]1.Plánovanie, manažment a kontr'!$Q$68</f>
        <v>76665</v>
      </c>
      <c r="N20" s="309">
        <f>'[2]1.Plánovanie, manažment a kontr'!$R$68</f>
        <v>0</v>
      </c>
      <c r="O20" s="338">
        <f>'[2]1.Plánovanie, manažment a kontr'!$S$68</f>
        <v>0</v>
      </c>
      <c r="P20" s="315">
        <f t="shared" si="19"/>
        <v>76364.48000000001</v>
      </c>
      <c r="Q20" s="309">
        <f>'[2]1.Plánovanie, manažment a kontr'!$T$68</f>
        <v>76364.48000000001</v>
      </c>
      <c r="R20" s="309">
        <f>'[2]1.Plánovanie, manažment a kontr'!$U$68</f>
        <v>0</v>
      </c>
      <c r="S20" s="310">
        <f>'[2]1.Plánovanie, manažment a kontr'!$V$68</f>
        <v>0</v>
      </c>
    </row>
    <row r="21" spans="1:19" ht="15.75" x14ac:dyDescent="0.25">
      <c r="A21" s="148"/>
      <c r="B21" s="344" t="s">
        <v>163</v>
      </c>
      <c r="C21" s="346" t="s">
        <v>164</v>
      </c>
      <c r="D21" s="308">
        <f t="shared" si="16"/>
        <v>3900</v>
      </c>
      <c r="E21" s="307">
        <f>'[1]1.Plánovanie, manažment a kontr'!$T$74</f>
        <v>3900</v>
      </c>
      <c r="F21" s="307">
        <f>'[1]1.Plánovanie, manažment a kontr'!$U$74</f>
        <v>0</v>
      </c>
      <c r="G21" s="325">
        <f>'[1]1.Plánovanie, manažment a kontr'!$V$74</f>
        <v>0</v>
      </c>
      <c r="H21" s="315">
        <f t="shared" si="17"/>
        <v>4000</v>
      </c>
      <c r="I21" s="309">
        <f>'[2]1.Plánovanie, manažment a kontr'!$N$75</f>
        <v>4000</v>
      </c>
      <c r="J21" s="309">
        <f>'[2]1.Plánovanie, manažment a kontr'!$O$75</f>
        <v>0</v>
      </c>
      <c r="K21" s="338">
        <f>'[2]1.Plánovanie, manažment a kontr'!$P$75</f>
        <v>0</v>
      </c>
      <c r="L21" s="315">
        <f t="shared" si="18"/>
        <v>5450</v>
      </c>
      <c r="M21" s="309">
        <f>'[2]1.Plánovanie, manažment a kontr'!$Q$75</f>
        <v>5450</v>
      </c>
      <c r="N21" s="309">
        <f>'[2]1.Plánovanie, manažment a kontr'!$R$75</f>
        <v>0</v>
      </c>
      <c r="O21" s="338">
        <f>'[2]1.Plánovanie, manažment a kontr'!$S$75</f>
        <v>0</v>
      </c>
      <c r="P21" s="315">
        <f t="shared" si="19"/>
        <v>5450</v>
      </c>
      <c r="Q21" s="309">
        <f>'[2]1.Plánovanie, manažment a kontr'!$T$75</f>
        <v>5450</v>
      </c>
      <c r="R21" s="309">
        <f>'[2]1.Plánovanie, manažment a kontr'!$U$75</f>
        <v>0</v>
      </c>
      <c r="S21" s="310">
        <f>'[2]1.Plánovanie, manažment a kontr'!$V$75</f>
        <v>0</v>
      </c>
    </row>
    <row r="22" spans="1:19" ht="15.75" x14ac:dyDescent="0.25">
      <c r="A22" s="148"/>
      <c r="B22" s="344" t="s">
        <v>165</v>
      </c>
      <c r="C22" s="346" t="s">
        <v>166</v>
      </c>
      <c r="D22" s="308">
        <f t="shared" si="16"/>
        <v>4920.3900000000003</v>
      </c>
      <c r="E22" s="307">
        <f>'[1]1.Plánovanie, manažment a kontr'!$T$78</f>
        <v>4920.3900000000003</v>
      </c>
      <c r="F22" s="307">
        <f>'[1]1.Plánovanie, manažment a kontr'!$U$78</f>
        <v>0</v>
      </c>
      <c r="G22" s="325">
        <f>'[1]1.Plánovanie, manažment a kontr'!$V$78</f>
        <v>0</v>
      </c>
      <c r="H22" s="315">
        <f t="shared" si="17"/>
        <v>6706.8700000000008</v>
      </c>
      <c r="I22" s="309">
        <f>'[2]1.Plánovanie, manažment a kontr'!$N$79</f>
        <v>6706.8700000000008</v>
      </c>
      <c r="J22" s="309">
        <f>'[2]1.Plánovanie, manažment a kontr'!$O$79</f>
        <v>0</v>
      </c>
      <c r="K22" s="338">
        <f>'[2]1.Plánovanie, manažment a kontr'!$P$79</f>
        <v>0</v>
      </c>
      <c r="L22" s="315">
        <f t="shared" si="18"/>
        <v>7170</v>
      </c>
      <c r="M22" s="309">
        <f>'[2]1.Plánovanie, manažment a kontr'!$Q$79</f>
        <v>7170</v>
      </c>
      <c r="N22" s="309">
        <f>'[2]1.Plánovanie, manažment a kontr'!$R$79</f>
        <v>0</v>
      </c>
      <c r="O22" s="338">
        <f>'[2]1.Plánovanie, manažment a kontr'!$S$79</f>
        <v>0</v>
      </c>
      <c r="P22" s="315">
        <f t="shared" si="19"/>
        <v>6541.25</v>
      </c>
      <c r="Q22" s="309">
        <f>'[2]1.Plánovanie, manažment a kontr'!$T$79</f>
        <v>6541.25</v>
      </c>
      <c r="R22" s="309">
        <f>'[2]1.Plánovanie, manažment a kontr'!$U$79</f>
        <v>0</v>
      </c>
      <c r="S22" s="310">
        <f>'[2]1.Plánovanie, manažment a kontr'!$V$79</f>
        <v>0</v>
      </c>
    </row>
    <row r="23" spans="1:19" ht="16.5" outlineLevel="1" thickBot="1" x14ac:dyDescent="0.3">
      <c r="A23" s="148"/>
      <c r="B23" s="347" t="s">
        <v>167</v>
      </c>
      <c r="C23" s="348" t="s">
        <v>463</v>
      </c>
      <c r="D23" s="312">
        <f t="shared" si="16"/>
        <v>0</v>
      </c>
      <c r="E23" s="311">
        <f>'[1]1.Plánovanie, manažment a kontr'!$T$81</f>
        <v>0</v>
      </c>
      <c r="F23" s="311">
        <f>'[1]1.Plánovanie, manažment a kontr'!$U$81</f>
        <v>0</v>
      </c>
      <c r="G23" s="327">
        <f>'[1]1.Plánovanie, manažment a kontr'!$V$81</f>
        <v>0</v>
      </c>
      <c r="H23" s="328">
        <f t="shared" si="17"/>
        <v>0</v>
      </c>
      <c r="I23" s="329">
        <f>'[2]1.Plánovanie, manažment a kontr'!$N$82</f>
        <v>0</v>
      </c>
      <c r="J23" s="329">
        <f>'[2]1.Plánovanie, manažment a kontr'!$O$82</f>
        <v>0</v>
      </c>
      <c r="K23" s="435">
        <f>'[2]1.Plánovanie, manažment a kontr'!$P$82</f>
        <v>0</v>
      </c>
      <c r="L23" s="336">
        <f t="shared" si="18"/>
        <v>0</v>
      </c>
      <c r="M23" s="337">
        <f>'[2]1.Plánovanie, manažment a kontr'!$Q$82</f>
        <v>0</v>
      </c>
      <c r="N23" s="337">
        <f>'[2]1.Plánovanie, manažment a kontr'!$R$82</f>
        <v>0</v>
      </c>
      <c r="O23" s="501">
        <f>'[2]1.Plánovanie, manažment a kontr'!$S$82</f>
        <v>0</v>
      </c>
      <c r="P23" s="336">
        <f t="shared" si="19"/>
        <v>0</v>
      </c>
      <c r="Q23" s="337">
        <f>'[2]1.Plánovanie, manažment a kontr'!$T$82</f>
        <v>0</v>
      </c>
      <c r="R23" s="337">
        <f>'[2]1.Plánovanie, manažment a kontr'!$U$82</f>
        <v>0</v>
      </c>
      <c r="S23" s="379">
        <f>'[2]1.Plánovanie, manažment a kontr'!$V$82</f>
        <v>0</v>
      </c>
    </row>
    <row r="24" spans="1:19" s="157" customFormat="1" ht="15.75" x14ac:dyDescent="0.25">
      <c r="A24" s="154"/>
      <c r="B24" s="349" t="s">
        <v>169</v>
      </c>
      <c r="C24" s="350"/>
      <c r="D24" s="306">
        <f t="shared" ref="D24:G24" si="20">D25+D34+D37</f>
        <v>37392.01</v>
      </c>
      <c r="E24" s="305">
        <f t="shared" si="20"/>
        <v>37392.01</v>
      </c>
      <c r="F24" s="305">
        <f t="shared" si="20"/>
        <v>0</v>
      </c>
      <c r="G24" s="331">
        <f t="shared" si="20"/>
        <v>0</v>
      </c>
      <c r="H24" s="487">
        <f>H25+H34+H37</f>
        <v>60251.17</v>
      </c>
      <c r="I24" s="494">
        <f t="shared" ref="I24:K24" si="21">I25+I34+I37</f>
        <v>60251.17</v>
      </c>
      <c r="J24" s="494">
        <f t="shared" si="21"/>
        <v>0</v>
      </c>
      <c r="K24" s="472">
        <f t="shared" si="21"/>
        <v>0</v>
      </c>
      <c r="L24" s="332">
        <f>L25+L34+L37</f>
        <v>67040</v>
      </c>
      <c r="M24" s="333">
        <f t="shared" ref="M24:O24" si="22">M25+M34+M37</f>
        <v>67040</v>
      </c>
      <c r="N24" s="333">
        <f t="shared" si="22"/>
        <v>0</v>
      </c>
      <c r="O24" s="434">
        <f t="shared" si="22"/>
        <v>0</v>
      </c>
      <c r="P24" s="332">
        <f>P25+P34+P37</f>
        <v>55735.630000000005</v>
      </c>
      <c r="Q24" s="333">
        <f t="shared" ref="Q24:S24" si="23">Q25+Q34+Q37</f>
        <v>55735.630000000005</v>
      </c>
      <c r="R24" s="333">
        <f t="shared" si="23"/>
        <v>0</v>
      </c>
      <c r="S24" s="334">
        <f t="shared" si="23"/>
        <v>0</v>
      </c>
    </row>
    <row r="25" spans="1:19" ht="15.75" x14ac:dyDescent="0.25">
      <c r="A25" s="148"/>
      <c r="B25" s="344" t="s">
        <v>170</v>
      </c>
      <c r="C25" s="346" t="s">
        <v>171</v>
      </c>
      <c r="D25" s="308">
        <f t="shared" ref="D25:G25" si="24">SUM(D26:D33)</f>
        <v>23458.55</v>
      </c>
      <c r="E25" s="307">
        <f t="shared" si="24"/>
        <v>23458.55</v>
      </c>
      <c r="F25" s="307">
        <f t="shared" si="24"/>
        <v>0</v>
      </c>
      <c r="G25" s="325">
        <f t="shared" si="24"/>
        <v>0</v>
      </c>
      <c r="H25" s="488">
        <f>SUM(H26:H33)</f>
        <v>36999.32</v>
      </c>
      <c r="I25" s="495">
        <f t="shared" ref="I25:K25" si="25">SUM(I26:I33)</f>
        <v>36999.32</v>
      </c>
      <c r="J25" s="495">
        <f t="shared" si="25"/>
        <v>0</v>
      </c>
      <c r="K25" s="450">
        <f t="shared" si="25"/>
        <v>0</v>
      </c>
      <c r="L25" s="315">
        <f>SUM(L26:L33)</f>
        <v>37240</v>
      </c>
      <c r="M25" s="309">
        <f t="shared" ref="M25:O25" si="26">SUM(M26:M33)</f>
        <v>37240</v>
      </c>
      <c r="N25" s="309">
        <f t="shared" si="26"/>
        <v>0</v>
      </c>
      <c r="O25" s="338">
        <f t="shared" si="26"/>
        <v>0</v>
      </c>
      <c r="P25" s="315">
        <f>SUM(P26:P33)</f>
        <v>32174.550000000003</v>
      </c>
      <c r="Q25" s="309">
        <f t="shared" ref="Q25:S25" si="27">SUM(Q26:Q33)</f>
        <v>32174.550000000003</v>
      </c>
      <c r="R25" s="309">
        <f t="shared" si="27"/>
        <v>0</v>
      </c>
      <c r="S25" s="310">
        <f t="shared" si="27"/>
        <v>0</v>
      </c>
    </row>
    <row r="26" spans="1:19" ht="15.75" x14ac:dyDescent="0.25">
      <c r="A26" s="158"/>
      <c r="B26" s="344">
        <v>1</v>
      </c>
      <c r="C26" s="346" t="s">
        <v>172</v>
      </c>
      <c r="D26" s="308">
        <f>SUM(E26:G26)</f>
        <v>99.07</v>
      </c>
      <c r="E26" s="307">
        <f>'[1]2. Propagácia a marketing'!$T$5</f>
        <v>99.07</v>
      </c>
      <c r="F26" s="307">
        <f>'[1]2. Propagácia a marketing'!$U$5</f>
        <v>0</v>
      </c>
      <c r="G26" s="325">
        <f>'[1]2. Propagácia a marketing'!$V$5</f>
        <v>0</v>
      </c>
      <c r="H26" s="488">
        <f>SUM(I26:K26)</f>
        <v>174.32</v>
      </c>
      <c r="I26" s="495">
        <f>'[2]2. Propagácia a marketing'!$N$5</f>
        <v>174.32</v>
      </c>
      <c r="J26" s="495">
        <f>'[2]2. Propagácia a marketing'!$O$5</f>
        <v>0</v>
      </c>
      <c r="K26" s="450">
        <f>'[2]2. Propagácia a marketing'!$P$5</f>
        <v>0</v>
      </c>
      <c r="L26" s="315">
        <f>SUM(M26:O26)</f>
        <v>240</v>
      </c>
      <c r="M26" s="309">
        <f>'[2]2. Propagácia a marketing'!$Q$5</f>
        <v>240</v>
      </c>
      <c r="N26" s="309">
        <f>'[2]2. Propagácia a marketing'!$R$5</f>
        <v>0</v>
      </c>
      <c r="O26" s="338">
        <f>'[2]2. Propagácia a marketing'!$S$5</f>
        <v>0</v>
      </c>
      <c r="P26" s="315">
        <f>SUM(Q26:S26)</f>
        <v>231.12</v>
      </c>
      <c r="Q26" s="309">
        <f>'[2]2. Propagácia a marketing'!$T$5</f>
        <v>231.12</v>
      </c>
      <c r="R26" s="309">
        <f>'[2]2. Propagácia a marketing'!$U$5</f>
        <v>0</v>
      </c>
      <c r="S26" s="310">
        <f>'[2]2. Propagácia a marketing'!$V$5</f>
        <v>0</v>
      </c>
    </row>
    <row r="27" spans="1:19" ht="15.75" x14ac:dyDescent="0.25">
      <c r="A27" s="148"/>
      <c r="B27" s="344">
        <v>2</v>
      </c>
      <c r="C27" s="351" t="s">
        <v>173</v>
      </c>
      <c r="D27" s="308">
        <f t="shared" ref="D27:D33" si="28">SUM(E27:G27)</f>
        <v>3913</v>
      </c>
      <c r="E27" s="307">
        <f>'[1]2. Propagácia a marketing'!$T$7</f>
        <v>3913</v>
      </c>
      <c r="F27" s="307">
        <f>'[1]2. Propagácia a marketing'!$U$7</f>
        <v>0</v>
      </c>
      <c r="G27" s="325">
        <f>'[1]2. Propagácia a marketing'!$V$7</f>
        <v>0</v>
      </c>
      <c r="H27" s="488">
        <f t="shared" ref="H27:H33" si="29">SUM(I27:K27)</f>
        <v>5374.42</v>
      </c>
      <c r="I27" s="495">
        <f>'[2]2. Propagácia a marketing'!$N$7</f>
        <v>5374.42</v>
      </c>
      <c r="J27" s="495">
        <f>'[2]2. Propagácia a marketing'!$O$7</f>
        <v>0</v>
      </c>
      <c r="K27" s="450">
        <f>'[2]2. Propagácia a marketing'!$P$7</f>
        <v>0</v>
      </c>
      <c r="L27" s="315">
        <f t="shared" ref="L27:L33" si="30">SUM(M27:O27)</f>
        <v>6550</v>
      </c>
      <c r="M27" s="309">
        <f>'[2]2. Propagácia a marketing'!$Q$7</f>
        <v>6550</v>
      </c>
      <c r="N27" s="309">
        <f>'[2]2. Propagácia a marketing'!$R$7</f>
        <v>0</v>
      </c>
      <c r="O27" s="338">
        <f>'[2]2. Propagácia a marketing'!$S$7</f>
        <v>0</v>
      </c>
      <c r="P27" s="315">
        <f t="shared" ref="P27:P33" si="31">SUM(Q27:S27)</f>
        <v>5627.3499999999995</v>
      </c>
      <c r="Q27" s="309">
        <f>'[2]2. Propagácia a marketing'!$T$7</f>
        <v>5627.3499999999995</v>
      </c>
      <c r="R27" s="309">
        <f>'[2]2. Propagácia a marketing'!$U$7</f>
        <v>0</v>
      </c>
      <c r="S27" s="310">
        <f>'[2]2. Propagácia a marketing'!$V$7</f>
        <v>0</v>
      </c>
    </row>
    <row r="28" spans="1:19" ht="15.75" x14ac:dyDescent="0.25">
      <c r="A28" s="148"/>
      <c r="B28" s="344">
        <v>3</v>
      </c>
      <c r="C28" s="346" t="s">
        <v>174</v>
      </c>
      <c r="D28" s="308">
        <f t="shared" si="28"/>
        <v>14831.48</v>
      </c>
      <c r="E28" s="307">
        <f>'[1]2. Propagácia a marketing'!$T$11</f>
        <v>14831.48</v>
      </c>
      <c r="F28" s="307">
        <f>'[1]2. Propagácia a marketing'!$U$11</f>
        <v>0</v>
      </c>
      <c r="G28" s="325">
        <f>'[1]2. Propagácia a marketing'!$V$11</f>
        <v>0</v>
      </c>
      <c r="H28" s="488">
        <f t="shared" si="29"/>
        <v>28450.58</v>
      </c>
      <c r="I28" s="495">
        <f>'[2]2. Propagácia a marketing'!$N$12</f>
        <v>28450.58</v>
      </c>
      <c r="J28" s="495">
        <f>'[2]2. Propagácia a marketing'!$O$12</f>
        <v>0</v>
      </c>
      <c r="K28" s="450">
        <f>'[2]2. Propagácia a marketing'!$P$12</f>
        <v>0</v>
      </c>
      <c r="L28" s="315">
        <f t="shared" si="30"/>
        <v>23450</v>
      </c>
      <c r="M28" s="309">
        <f>'[2]2. Propagácia a marketing'!$Q$12</f>
        <v>23450</v>
      </c>
      <c r="N28" s="309">
        <f>'[2]2. Propagácia a marketing'!$R$12</f>
        <v>0</v>
      </c>
      <c r="O28" s="338">
        <f>'[2]2. Propagácia a marketing'!$S$12</f>
        <v>0</v>
      </c>
      <c r="P28" s="315">
        <f t="shared" si="31"/>
        <v>23316.080000000002</v>
      </c>
      <c r="Q28" s="309">
        <f>'[2]2. Propagácia a marketing'!$T$12</f>
        <v>23316.080000000002</v>
      </c>
      <c r="R28" s="309">
        <f>'[2]2. Propagácia a marketing'!$U$12</f>
        <v>0</v>
      </c>
      <c r="S28" s="310">
        <f>'[2]2. Propagácia a marketing'!$V$12</f>
        <v>0</v>
      </c>
    </row>
    <row r="29" spans="1:19" ht="15.75" x14ac:dyDescent="0.25">
      <c r="A29" s="148"/>
      <c r="B29" s="344">
        <v>4</v>
      </c>
      <c r="C29" s="346" t="s">
        <v>175</v>
      </c>
      <c r="D29" s="308">
        <f t="shared" si="28"/>
        <v>0</v>
      </c>
      <c r="E29" s="307">
        <f>'[1]2. Propagácia a marketing'!$T$20</f>
        <v>0</v>
      </c>
      <c r="F29" s="307">
        <f>'[1]2. Propagácia a marketing'!$U$20</f>
        <v>0</v>
      </c>
      <c r="G29" s="325">
        <f>'[1]2. Propagácia a marketing'!$V$20</f>
        <v>0</v>
      </c>
      <c r="H29" s="488">
        <f t="shared" si="29"/>
        <v>0</v>
      </c>
      <c r="I29" s="495">
        <f>'[2]2. Propagácia a marketing'!$N$20</f>
        <v>0</v>
      </c>
      <c r="J29" s="495">
        <f>'[2]2. Propagácia a marketing'!$O$20</f>
        <v>0</v>
      </c>
      <c r="K29" s="450">
        <f>'[2]2. Propagácia a marketing'!$P$20</f>
        <v>0</v>
      </c>
      <c r="L29" s="315">
        <f t="shared" si="30"/>
        <v>0</v>
      </c>
      <c r="M29" s="309">
        <f>'[2]2. Propagácia a marketing'!$Q$20</f>
        <v>0</v>
      </c>
      <c r="N29" s="309">
        <f>'[2]2. Propagácia a marketing'!$R$20</f>
        <v>0</v>
      </c>
      <c r="O29" s="338">
        <f>'[2]2. Propagácia a marketing'!$S$20</f>
        <v>0</v>
      </c>
      <c r="P29" s="315">
        <f t="shared" si="31"/>
        <v>0</v>
      </c>
      <c r="Q29" s="309">
        <f>'[2]2. Propagácia a marketing'!$T$20</f>
        <v>0</v>
      </c>
      <c r="R29" s="309">
        <f>'[2]2. Propagácia a marketing'!$U$20</f>
        <v>0</v>
      </c>
      <c r="S29" s="310">
        <f>'[2]2. Propagácia a marketing'!$V$20</f>
        <v>0</v>
      </c>
    </row>
    <row r="30" spans="1:19" ht="15.75" x14ac:dyDescent="0.25">
      <c r="A30" s="148"/>
      <c r="B30" s="344">
        <v>5</v>
      </c>
      <c r="C30" s="346" t="s">
        <v>176</v>
      </c>
      <c r="D30" s="308">
        <f t="shared" si="28"/>
        <v>0</v>
      </c>
      <c r="E30" s="307">
        <f>'[1]2. Propagácia a marketing'!$T$22</f>
        <v>0</v>
      </c>
      <c r="F30" s="307">
        <f>'[1]2. Propagácia a marketing'!$U$22</f>
        <v>0</v>
      </c>
      <c r="G30" s="325">
        <f>'[1]2. Propagácia a marketing'!$V$22</f>
        <v>0</v>
      </c>
      <c r="H30" s="488">
        <f t="shared" si="29"/>
        <v>0</v>
      </c>
      <c r="I30" s="495">
        <f>'[2]2. Propagácia a marketing'!$N$22</f>
        <v>0</v>
      </c>
      <c r="J30" s="495">
        <f>'[2]2. Propagácia a marketing'!$O$22</f>
        <v>0</v>
      </c>
      <c r="K30" s="450">
        <f>'[2]2. Propagácia a marketing'!$P$22</f>
        <v>0</v>
      </c>
      <c r="L30" s="315">
        <f t="shared" si="30"/>
        <v>0</v>
      </c>
      <c r="M30" s="309">
        <f>'[2]2. Propagácia a marketing'!$Q$22</f>
        <v>0</v>
      </c>
      <c r="N30" s="309">
        <f>'[2]2. Propagácia a marketing'!$R$22</f>
        <v>0</v>
      </c>
      <c r="O30" s="338">
        <f>'[2]2. Propagácia a marketing'!$S$22</f>
        <v>0</v>
      </c>
      <c r="P30" s="315">
        <f t="shared" si="31"/>
        <v>0</v>
      </c>
      <c r="Q30" s="309">
        <f>'[2]2. Propagácia a marketing'!$T$22</f>
        <v>0</v>
      </c>
      <c r="R30" s="309">
        <f>'[2]2. Propagácia a marketing'!$U$22</f>
        <v>0</v>
      </c>
      <c r="S30" s="310">
        <f>'[2]2. Propagácia a marketing'!$V$22</f>
        <v>0</v>
      </c>
    </row>
    <row r="31" spans="1:19" ht="15.75" x14ac:dyDescent="0.25">
      <c r="A31" s="148"/>
      <c r="B31" s="344">
        <v>6</v>
      </c>
      <c r="C31" s="346" t="s">
        <v>177</v>
      </c>
      <c r="D31" s="308">
        <f t="shared" si="28"/>
        <v>0</v>
      </c>
      <c r="E31" s="307">
        <f>'[1]2. Propagácia a marketing'!$T$25</f>
        <v>0</v>
      </c>
      <c r="F31" s="307">
        <f>'[1]2. Propagácia a marketing'!$U$25</f>
        <v>0</v>
      </c>
      <c r="G31" s="325">
        <f>'[1]2. Propagácia a marketing'!$V$25</f>
        <v>0</v>
      </c>
      <c r="H31" s="488">
        <f t="shared" si="29"/>
        <v>0</v>
      </c>
      <c r="I31" s="495">
        <f>'[2]2. Propagácia a marketing'!$N$25</f>
        <v>0</v>
      </c>
      <c r="J31" s="495">
        <f>'[2]2. Propagácia a marketing'!$O$25</f>
        <v>0</v>
      </c>
      <c r="K31" s="450">
        <f>'[2]2. Propagácia a marketing'!$P$25</f>
        <v>0</v>
      </c>
      <c r="L31" s="315">
        <f t="shared" si="30"/>
        <v>0</v>
      </c>
      <c r="M31" s="309">
        <f>'[2]2. Propagácia a marketing'!$Q$25</f>
        <v>0</v>
      </c>
      <c r="N31" s="309">
        <f>'[2]2. Propagácia a marketing'!$R$25</f>
        <v>0</v>
      </c>
      <c r="O31" s="338">
        <f>'[2]2. Propagácia a marketing'!$S$25</f>
        <v>0</v>
      </c>
      <c r="P31" s="315">
        <f t="shared" si="31"/>
        <v>0</v>
      </c>
      <c r="Q31" s="309">
        <f>'[2]2. Propagácia a marketing'!$T$25</f>
        <v>0</v>
      </c>
      <c r="R31" s="309">
        <f>'[2]2. Propagácia a marketing'!$U$25</f>
        <v>0</v>
      </c>
      <c r="S31" s="310">
        <f>'[2]2. Propagácia a marketing'!$V$25</f>
        <v>0</v>
      </c>
    </row>
    <row r="32" spans="1:19" ht="15.75" x14ac:dyDescent="0.25">
      <c r="A32" s="148"/>
      <c r="B32" s="344">
        <v>7</v>
      </c>
      <c r="C32" s="346" t="s">
        <v>178</v>
      </c>
      <c r="D32" s="308">
        <f t="shared" si="28"/>
        <v>1615</v>
      </c>
      <c r="E32" s="307">
        <f>'[1]2. Propagácia a marketing'!$T$27</f>
        <v>1615</v>
      </c>
      <c r="F32" s="307">
        <f>'[1]2. Propagácia a marketing'!$U$27</f>
        <v>0</v>
      </c>
      <c r="G32" s="325">
        <f>'[1]2. Propagácia a marketing'!$V$27</f>
        <v>0</v>
      </c>
      <c r="H32" s="488">
        <f t="shared" si="29"/>
        <v>0</v>
      </c>
      <c r="I32" s="495">
        <f>'[2]2. Propagácia a marketing'!$N$27</f>
        <v>0</v>
      </c>
      <c r="J32" s="495">
        <f>'[2]2. Propagácia a marketing'!$O$27</f>
        <v>0</v>
      </c>
      <c r="K32" s="450">
        <f>'[2]2. Propagácia a marketing'!$P$27</f>
        <v>0</v>
      </c>
      <c r="L32" s="315">
        <f t="shared" si="30"/>
        <v>4000</v>
      </c>
      <c r="M32" s="309">
        <f>'[2]2. Propagácia a marketing'!$Q$27</f>
        <v>4000</v>
      </c>
      <c r="N32" s="309">
        <f>'[2]2. Propagácia a marketing'!$R$27</f>
        <v>0</v>
      </c>
      <c r="O32" s="338">
        <f>'[2]2. Propagácia a marketing'!$S$27</f>
        <v>0</v>
      </c>
      <c r="P32" s="315">
        <f t="shared" si="31"/>
        <v>0</v>
      </c>
      <c r="Q32" s="309">
        <f>'[2]2. Propagácia a marketing'!$T$27</f>
        <v>0</v>
      </c>
      <c r="R32" s="309">
        <f>'[2]2. Propagácia a marketing'!$U$27</f>
        <v>0</v>
      </c>
      <c r="S32" s="310">
        <f>'[2]2. Propagácia a marketing'!$V$27</f>
        <v>0</v>
      </c>
    </row>
    <row r="33" spans="1:19" ht="15.75" outlineLevel="1" x14ac:dyDescent="0.25">
      <c r="A33" s="148"/>
      <c r="B33" s="344">
        <v>8</v>
      </c>
      <c r="C33" s="346" t="s">
        <v>464</v>
      </c>
      <c r="D33" s="308">
        <f t="shared" si="28"/>
        <v>3000</v>
      </c>
      <c r="E33" s="307">
        <f>'[1]2. Propagácia a marketing'!$T$29</f>
        <v>3000</v>
      </c>
      <c r="F33" s="307">
        <f>'[1]2. Propagácia a marketing'!$U$29</f>
        <v>0</v>
      </c>
      <c r="G33" s="325">
        <f>'[1]2. Propagácia a marketing'!$V$29</f>
        <v>0</v>
      </c>
      <c r="H33" s="488">
        <f t="shared" si="29"/>
        <v>3000</v>
      </c>
      <c r="I33" s="495">
        <f>'[2]2. Propagácia a marketing'!$N$29</f>
        <v>3000</v>
      </c>
      <c r="J33" s="495">
        <f>'[2]2. Propagácia a marketing'!$O$29</f>
        <v>0</v>
      </c>
      <c r="K33" s="450">
        <f>'[2]2. Propagácia a marketing'!$P$29</f>
        <v>0</v>
      </c>
      <c r="L33" s="315">
        <f t="shared" si="30"/>
        <v>3000</v>
      </c>
      <c r="M33" s="309">
        <f>'[2]2. Propagácia a marketing'!$Q$29</f>
        <v>3000</v>
      </c>
      <c r="N33" s="309">
        <f>'[2]2. Propagácia a marketing'!$R$29</f>
        <v>0</v>
      </c>
      <c r="O33" s="338">
        <f>'[2]2. Propagácia a marketing'!$S$29</f>
        <v>0</v>
      </c>
      <c r="P33" s="315">
        <f t="shared" si="31"/>
        <v>3000</v>
      </c>
      <c r="Q33" s="309">
        <f>'[2]2. Propagácia a marketing'!$T$29</f>
        <v>3000</v>
      </c>
      <c r="R33" s="309">
        <f>'[2]2. Propagácia a marketing'!$U$29</f>
        <v>0</v>
      </c>
      <c r="S33" s="310">
        <f>'[2]2. Propagácia a marketing'!$V$29</f>
        <v>0</v>
      </c>
    </row>
    <row r="34" spans="1:19" ht="15.75" x14ac:dyDescent="0.25">
      <c r="A34" s="155"/>
      <c r="B34" s="344" t="s">
        <v>180</v>
      </c>
      <c r="C34" s="346" t="s">
        <v>181</v>
      </c>
      <c r="D34" s="308">
        <f t="shared" ref="D34:G34" si="32">SUM(D35:D36)</f>
        <v>9821.25</v>
      </c>
      <c r="E34" s="307">
        <f t="shared" si="32"/>
        <v>9821.25</v>
      </c>
      <c r="F34" s="307">
        <f t="shared" si="32"/>
        <v>0</v>
      </c>
      <c r="G34" s="325">
        <f t="shared" si="32"/>
        <v>0</v>
      </c>
      <c r="H34" s="488">
        <f>SUM(H35:H36)</f>
        <v>19254.059999999998</v>
      </c>
      <c r="I34" s="495">
        <f t="shared" ref="I34:K34" si="33">SUM(I35:I36)</f>
        <v>19254.059999999998</v>
      </c>
      <c r="J34" s="495">
        <f t="shared" si="33"/>
        <v>0</v>
      </c>
      <c r="K34" s="450">
        <f t="shared" si="33"/>
        <v>0</v>
      </c>
      <c r="L34" s="315">
        <f>SUM(L35:L36)</f>
        <v>14300</v>
      </c>
      <c r="M34" s="309">
        <f t="shared" ref="M34:O34" si="34">SUM(M35:M36)</f>
        <v>14300</v>
      </c>
      <c r="N34" s="309">
        <f t="shared" si="34"/>
        <v>0</v>
      </c>
      <c r="O34" s="338">
        <f t="shared" si="34"/>
        <v>0</v>
      </c>
      <c r="P34" s="315">
        <f>SUM(P35:P36)</f>
        <v>9447.57</v>
      </c>
      <c r="Q34" s="309">
        <f t="shared" ref="Q34:S34" si="35">SUM(Q35:Q36)</f>
        <v>9447.57</v>
      </c>
      <c r="R34" s="309">
        <f t="shared" si="35"/>
        <v>0</v>
      </c>
      <c r="S34" s="310">
        <f t="shared" si="35"/>
        <v>0</v>
      </c>
    </row>
    <row r="35" spans="1:19" ht="15.75" x14ac:dyDescent="0.25">
      <c r="A35" s="155"/>
      <c r="B35" s="344">
        <v>1</v>
      </c>
      <c r="C35" s="346" t="s">
        <v>182</v>
      </c>
      <c r="D35" s="308">
        <f>SUM(E35:G35)</f>
        <v>7975.25</v>
      </c>
      <c r="E35" s="307">
        <f>'[1]2. Propagácia a marketing'!$T$33</f>
        <v>7975.25</v>
      </c>
      <c r="F35" s="307">
        <f>'[1]2. Propagácia a marketing'!$U$33</f>
        <v>0</v>
      </c>
      <c r="G35" s="325">
        <f>'[1]2. Propagácia a marketing'!$V$33</f>
        <v>0</v>
      </c>
      <c r="H35" s="488">
        <f>SUM(I35:K35)</f>
        <v>10277.939999999999</v>
      </c>
      <c r="I35" s="495">
        <f>'[2]2. Propagácia a marketing'!$N$32</f>
        <v>10277.939999999999</v>
      </c>
      <c r="J35" s="495">
        <f>'[2]2. Propagácia a marketing'!$O$32</f>
        <v>0</v>
      </c>
      <c r="K35" s="450">
        <f>'[2]2. Propagácia a marketing'!$P$32</f>
        <v>0</v>
      </c>
      <c r="L35" s="315">
        <f>SUM(M35:O35)</f>
        <v>12700</v>
      </c>
      <c r="M35" s="309">
        <f>'[2]2. Propagácia a marketing'!$Q$32</f>
        <v>12700</v>
      </c>
      <c r="N35" s="309">
        <f>'[2]2. Propagácia a marketing'!$R$32</f>
        <v>0</v>
      </c>
      <c r="O35" s="338">
        <f>'[2]2. Propagácia a marketing'!$S$32</f>
        <v>0</v>
      </c>
      <c r="P35" s="315">
        <f>SUM(Q35:S35)</f>
        <v>8039.57</v>
      </c>
      <c r="Q35" s="309">
        <f>'[2]2. Propagácia a marketing'!$T$32</f>
        <v>8039.57</v>
      </c>
      <c r="R35" s="309">
        <f>'[2]2. Propagácia a marketing'!$U$32</f>
        <v>0</v>
      </c>
      <c r="S35" s="310">
        <f>'[2]2. Propagácia a marketing'!$V$32</f>
        <v>0</v>
      </c>
    </row>
    <row r="36" spans="1:19" ht="15.75" x14ac:dyDescent="0.25">
      <c r="A36" s="155"/>
      <c r="B36" s="344">
        <v>2</v>
      </c>
      <c r="C36" s="346" t="s">
        <v>183</v>
      </c>
      <c r="D36" s="308">
        <f>SUM(E36:G36)</f>
        <v>1846</v>
      </c>
      <c r="E36" s="307">
        <f>'[1]2. Propagácia a marketing'!$T$49</f>
        <v>1846</v>
      </c>
      <c r="F36" s="307">
        <f>'[1]2. Propagácia a marketing'!$U$49</f>
        <v>0</v>
      </c>
      <c r="G36" s="325">
        <f>'[1]2. Propagácia a marketing'!$V$49</f>
        <v>0</v>
      </c>
      <c r="H36" s="488">
        <f t="shared" ref="H36:H37" si="36">SUM(I36:K36)</f>
        <v>8976.119999999999</v>
      </c>
      <c r="I36" s="495">
        <f>'[2]2. Propagácia a marketing'!$N$46</f>
        <v>8976.119999999999</v>
      </c>
      <c r="J36" s="495">
        <f>'[2]2. Propagácia a marketing'!$O$46</f>
        <v>0</v>
      </c>
      <c r="K36" s="450">
        <f>'[2]2. Propagácia a marketing'!$P$46</f>
        <v>0</v>
      </c>
      <c r="L36" s="315">
        <f t="shared" ref="L36:L37" si="37">SUM(M36:O36)</f>
        <v>1600</v>
      </c>
      <c r="M36" s="309">
        <f>'[2]2. Propagácia a marketing'!$Q$46</f>
        <v>1600</v>
      </c>
      <c r="N36" s="309">
        <f>'[2]2. Propagácia a marketing'!$R$46</f>
        <v>0</v>
      </c>
      <c r="O36" s="338">
        <f>'[2]2. Propagácia a marketing'!$S$46</f>
        <v>0</v>
      </c>
      <c r="P36" s="315">
        <f t="shared" ref="P36:P37" si="38">SUM(Q36:S36)</f>
        <v>1408</v>
      </c>
      <c r="Q36" s="309">
        <f>'[2]2. Propagácia a marketing'!$T$46</f>
        <v>1408</v>
      </c>
      <c r="R36" s="309">
        <f>'[2]2. Propagácia a marketing'!$U$46</f>
        <v>0</v>
      </c>
      <c r="S36" s="310">
        <f>'[2]2. Propagácia a marketing'!$V$46</f>
        <v>0</v>
      </c>
    </row>
    <row r="37" spans="1:19" ht="16.5" thickBot="1" x14ac:dyDescent="0.3">
      <c r="A37" s="158"/>
      <c r="B37" s="347" t="s">
        <v>184</v>
      </c>
      <c r="C37" s="348" t="s">
        <v>185</v>
      </c>
      <c r="D37" s="313">
        <f>SUM(E37:G37)</f>
        <v>4112.21</v>
      </c>
      <c r="E37" s="314">
        <f>'[1]2. Propagácia a marketing'!$T$54</f>
        <v>4112.21</v>
      </c>
      <c r="F37" s="314">
        <f>'[1]2. Propagácia a marketing'!$U$54</f>
        <v>0</v>
      </c>
      <c r="G37" s="335">
        <f>'[1]2. Propagácia a marketing'!$V$54</f>
        <v>0</v>
      </c>
      <c r="H37" s="489">
        <f t="shared" si="36"/>
        <v>3997.79</v>
      </c>
      <c r="I37" s="496">
        <f>'[2]2. Propagácia a marketing'!$N$52</f>
        <v>3997.79</v>
      </c>
      <c r="J37" s="496">
        <f>'[2]2. Propagácia a marketing'!$O$52</f>
        <v>0</v>
      </c>
      <c r="K37" s="473">
        <f>'[2]2. Propagácia a marketing'!$P$52</f>
        <v>0</v>
      </c>
      <c r="L37" s="336">
        <f t="shared" si="37"/>
        <v>15500</v>
      </c>
      <c r="M37" s="337">
        <f>'[2]2. Propagácia a marketing'!$Q$52</f>
        <v>15500</v>
      </c>
      <c r="N37" s="337">
        <f>'[2]2. Propagácia a marketing'!$R$52</f>
        <v>0</v>
      </c>
      <c r="O37" s="501">
        <f>'[2]2. Propagácia a marketing'!$S$52</f>
        <v>0</v>
      </c>
      <c r="P37" s="336">
        <f t="shared" si="38"/>
        <v>14113.509999999998</v>
      </c>
      <c r="Q37" s="337">
        <f>'[2]2. Propagácia a marketing'!$T$52</f>
        <v>14113.509999999998</v>
      </c>
      <c r="R37" s="337">
        <f>'[2]2. Propagácia a marketing'!$U$52</f>
        <v>0</v>
      </c>
      <c r="S37" s="379">
        <f>'[2]2. Propagácia a marketing'!$V$52</f>
        <v>0</v>
      </c>
    </row>
    <row r="38" spans="1:19" s="157" customFormat="1" ht="15.75" x14ac:dyDescent="0.25">
      <c r="A38" s="156"/>
      <c r="B38" s="349" t="s">
        <v>186</v>
      </c>
      <c r="C38" s="350"/>
      <c r="D38" s="306">
        <f t="shared" ref="D38:G38" si="39">D39+D40+D41+D46+D47</f>
        <v>277784.24999999994</v>
      </c>
      <c r="E38" s="305">
        <f t="shared" si="39"/>
        <v>246306.02999999994</v>
      </c>
      <c r="F38" s="305">
        <f t="shared" si="39"/>
        <v>31478.22</v>
      </c>
      <c r="G38" s="331">
        <f t="shared" si="39"/>
        <v>0</v>
      </c>
      <c r="H38" s="487">
        <f>H39+H40+H41+H46+H47</f>
        <v>266656.76000000007</v>
      </c>
      <c r="I38" s="494">
        <f t="shared" ref="I38:K38" si="40">I39+I40+I41+I46+I47</f>
        <v>239279.84000000005</v>
      </c>
      <c r="J38" s="494">
        <f t="shared" si="40"/>
        <v>27376.92</v>
      </c>
      <c r="K38" s="472">
        <f t="shared" si="40"/>
        <v>0</v>
      </c>
      <c r="L38" s="332">
        <f>L39+L40+L41+L46+L47</f>
        <v>2403869</v>
      </c>
      <c r="M38" s="333">
        <f t="shared" ref="M38:O38" si="41">M39+M40+M41+M46+M47</f>
        <v>278840</v>
      </c>
      <c r="N38" s="333">
        <f t="shared" si="41"/>
        <v>2125029</v>
      </c>
      <c r="O38" s="434">
        <f t="shared" si="41"/>
        <v>0</v>
      </c>
      <c r="P38" s="332">
        <f>P39+P40+P41+P46+P47</f>
        <v>2356174.7400000002</v>
      </c>
      <c r="Q38" s="333">
        <f t="shared" ref="Q38:S38" si="42">Q39+Q40+Q41+Q46+Q47</f>
        <v>234508.78000000003</v>
      </c>
      <c r="R38" s="333">
        <f t="shared" si="42"/>
        <v>2121665.96</v>
      </c>
      <c r="S38" s="334">
        <f t="shared" si="42"/>
        <v>0</v>
      </c>
    </row>
    <row r="39" spans="1:19" ht="15.75" x14ac:dyDescent="0.25">
      <c r="A39" s="148"/>
      <c r="B39" s="344" t="s">
        <v>187</v>
      </c>
      <c r="C39" s="346" t="s">
        <v>188</v>
      </c>
      <c r="D39" s="308">
        <f>SUM(E39:G39)</f>
        <v>46734.2</v>
      </c>
      <c r="E39" s="307">
        <f>'[1]3.Interné služby'!$T$4</f>
        <v>46734.2</v>
      </c>
      <c r="F39" s="307">
        <f>'[1]3.Interné služby'!$U$4</f>
        <v>0</v>
      </c>
      <c r="G39" s="325">
        <f>'[1]3.Interné služby'!$V$4</f>
        <v>0</v>
      </c>
      <c r="H39" s="488">
        <f>SUM(I39:K39)</f>
        <v>83462.91</v>
      </c>
      <c r="I39" s="495">
        <f>'[2]3.Interné služby'!$N$4</f>
        <v>56476.99</v>
      </c>
      <c r="J39" s="495">
        <f>'[2]3.Interné služby'!$O$4</f>
        <v>26985.919999999998</v>
      </c>
      <c r="K39" s="450">
        <f>'[2]3.Interné služby'!$P$4</f>
        <v>0</v>
      </c>
      <c r="L39" s="315">
        <f>SUM(M39:O39)</f>
        <v>53180</v>
      </c>
      <c r="M39" s="309">
        <f>'[2]3.Interné služby'!$Q$4</f>
        <v>49300</v>
      </c>
      <c r="N39" s="309">
        <f>'[2]3.Interné služby'!$R$4</f>
        <v>3880</v>
      </c>
      <c r="O39" s="338">
        <f>'[2]3.Interné služby'!$S$4</f>
        <v>0</v>
      </c>
      <c r="P39" s="315">
        <f>SUM(Q39:S39)</f>
        <v>48873.060000000005</v>
      </c>
      <c r="Q39" s="309">
        <f>'[2]3.Interné služby'!$T$4</f>
        <v>45003.060000000005</v>
      </c>
      <c r="R39" s="309">
        <f>'[2]3.Interné služby'!$U$4</f>
        <v>3870</v>
      </c>
      <c r="S39" s="310">
        <f>'[2]3.Interné služby'!$V$4</f>
        <v>0</v>
      </c>
    </row>
    <row r="40" spans="1:19" ht="15.75" x14ac:dyDescent="0.25">
      <c r="A40" s="158"/>
      <c r="B40" s="344" t="s">
        <v>189</v>
      </c>
      <c r="C40" s="346" t="s">
        <v>190</v>
      </c>
      <c r="D40" s="308">
        <f>SUM(E40:G40)</f>
        <v>4661.9699999999993</v>
      </c>
      <c r="E40" s="307">
        <f>'[1]3.Interné služby'!$T$17</f>
        <v>4661.9699999999993</v>
      </c>
      <c r="F40" s="307">
        <f>'[1]3.Interné služby'!$U$17</f>
        <v>0</v>
      </c>
      <c r="G40" s="325">
        <f>'[1]3.Interné služby'!$V$17</f>
        <v>0</v>
      </c>
      <c r="H40" s="488">
        <f>SUM(I40:K40)</f>
        <v>5028.0999999999995</v>
      </c>
      <c r="I40" s="495">
        <f>'[2]3.Interné služby'!$N$19</f>
        <v>5028.0999999999995</v>
      </c>
      <c r="J40" s="495">
        <f>'[2]3.Interné služby'!$O$19</f>
        <v>0</v>
      </c>
      <c r="K40" s="450">
        <f>'[2]3.Interné služby'!$P$19</f>
        <v>0</v>
      </c>
      <c r="L40" s="315">
        <f>SUM(M40:O40)</f>
        <v>7100</v>
      </c>
      <c r="M40" s="309">
        <f>'[2]3.Interné služby'!$Q$19</f>
        <v>7100</v>
      </c>
      <c r="N40" s="309">
        <f>'[2]3.Interné služby'!$R$19</f>
        <v>0</v>
      </c>
      <c r="O40" s="338">
        <f>'[2]3.Interné služby'!$S$19</f>
        <v>0</v>
      </c>
      <c r="P40" s="315">
        <f>SUM(Q40:S40)</f>
        <v>4061.41</v>
      </c>
      <c r="Q40" s="309">
        <f>'[2]3.Interné služby'!$T$19</f>
        <v>4061.41</v>
      </c>
      <c r="R40" s="309">
        <f>'[2]3.Interné služby'!$U$19</f>
        <v>0</v>
      </c>
      <c r="S40" s="310">
        <f>'[2]3.Interné služby'!$V$19</f>
        <v>0</v>
      </c>
    </row>
    <row r="41" spans="1:19" ht="15.75" x14ac:dyDescent="0.25">
      <c r="A41" s="155"/>
      <c r="B41" s="344" t="s">
        <v>191</v>
      </c>
      <c r="C41" s="346" t="s">
        <v>192</v>
      </c>
      <c r="D41" s="308">
        <f t="shared" ref="D41:G41" si="43">SUM(D42:D45)</f>
        <v>219890.59999999995</v>
      </c>
      <c r="E41" s="307">
        <f t="shared" si="43"/>
        <v>188412.37999999995</v>
      </c>
      <c r="F41" s="307">
        <f t="shared" si="43"/>
        <v>31478.22</v>
      </c>
      <c r="G41" s="325">
        <f t="shared" si="43"/>
        <v>0</v>
      </c>
      <c r="H41" s="488">
        <f>SUM(H42:H45)</f>
        <v>173884.05000000005</v>
      </c>
      <c r="I41" s="495">
        <f t="shared" ref="I41:K41" si="44">SUM(I42:I45)</f>
        <v>173493.05000000005</v>
      </c>
      <c r="J41" s="495">
        <f t="shared" si="44"/>
        <v>391</v>
      </c>
      <c r="K41" s="450">
        <f t="shared" si="44"/>
        <v>0</v>
      </c>
      <c r="L41" s="315">
        <f>SUM(L42:L45)</f>
        <v>2336089</v>
      </c>
      <c r="M41" s="309">
        <f t="shared" ref="M41:O41" si="45">SUM(M42:M45)</f>
        <v>214940</v>
      </c>
      <c r="N41" s="309">
        <f t="shared" si="45"/>
        <v>2121149</v>
      </c>
      <c r="O41" s="338">
        <f t="shared" si="45"/>
        <v>0</v>
      </c>
      <c r="P41" s="315">
        <f>SUM(P42:P45)</f>
        <v>2296501.12</v>
      </c>
      <c r="Q41" s="309">
        <f t="shared" ref="Q41:S41" si="46">SUM(Q42:Q45)</f>
        <v>178705.16000000003</v>
      </c>
      <c r="R41" s="309">
        <f t="shared" si="46"/>
        <v>2117795.96</v>
      </c>
      <c r="S41" s="310">
        <f t="shared" si="46"/>
        <v>0</v>
      </c>
    </row>
    <row r="42" spans="1:19" ht="15.75" x14ac:dyDescent="0.25">
      <c r="A42" s="155"/>
      <c r="B42" s="344">
        <v>1</v>
      </c>
      <c r="C42" s="346" t="s">
        <v>193</v>
      </c>
      <c r="D42" s="308">
        <f t="shared" ref="D42:D47" si="47">SUM(E42:G42)</f>
        <v>962.66000000000008</v>
      </c>
      <c r="E42" s="307">
        <f>'[1]3.Interné služby'!$T$23</f>
        <v>962.66000000000008</v>
      </c>
      <c r="F42" s="307">
        <f>'[1]3.Interné služby'!$U$23</f>
        <v>0</v>
      </c>
      <c r="G42" s="325">
        <f>'[1]3.Interné služby'!$V$23</f>
        <v>0</v>
      </c>
      <c r="H42" s="488">
        <f t="shared" ref="H42:H47" si="48">SUM(I42:K42)</f>
        <v>889.87000000000012</v>
      </c>
      <c r="I42" s="495">
        <f>'[2]3.Interné služby'!$N$25</f>
        <v>889.87000000000012</v>
      </c>
      <c r="J42" s="495">
        <f>'[2]3.Interné služby'!$O$25</f>
        <v>0</v>
      </c>
      <c r="K42" s="450">
        <f>'[2]3.Interné služby'!$P$25</f>
        <v>0</v>
      </c>
      <c r="L42" s="315">
        <f>SUM(M42:O42)</f>
        <v>1800</v>
      </c>
      <c r="M42" s="309">
        <f>'[2]3.Interné služby'!$Q$25</f>
        <v>1800</v>
      </c>
      <c r="N42" s="309">
        <f>'[2]3.Interné služby'!$R$25</f>
        <v>0</v>
      </c>
      <c r="O42" s="338">
        <f>'[2]3.Interné služby'!$S$25</f>
        <v>0</v>
      </c>
      <c r="P42" s="315">
        <f>SUM(Q42:S42)</f>
        <v>1201</v>
      </c>
      <c r="Q42" s="309">
        <f>'[2]3.Interné služby'!$T$25</f>
        <v>1201</v>
      </c>
      <c r="R42" s="309">
        <f>'[2]3.Interné služby'!$U$25</f>
        <v>0</v>
      </c>
      <c r="S42" s="310">
        <f>'[2]3.Interné služby'!$V$25</f>
        <v>0</v>
      </c>
    </row>
    <row r="43" spans="1:19" ht="15.75" x14ac:dyDescent="0.25">
      <c r="A43" s="155"/>
      <c r="B43" s="344">
        <v>2</v>
      </c>
      <c r="C43" s="346" t="s">
        <v>194</v>
      </c>
      <c r="D43" s="308">
        <f t="shared" si="47"/>
        <v>1242.18</v>
      </c>
      <c r="E43" s="307">
        <f>'[1]3.Interné služby'!$T$28</f>
        <v>1242.18</v>
      </c>
      <c r="F43" s="307">
        <f>'[1]3.Interné služby'!$U$28</f>
        <v>0</v>
      </c>
      <c r="G43" s="325">
        <f>'[1]3.Interné služby'!$V$28</f>
        <v>0</v>
      </c>
      <c r="H43" s="488">
        <f t="shared" si="48"/>
        <v>1067.68</v>
      </c>
      <c r="I43" s="495">
        <f>'[2]3.Interné služby'!$N$30</f>
        <v>1067.68</v>
      </c>
      <c r="J43" s="495">
        <f>'[2]3.Interné služby'!$O$30</f>
        <v>0</v>
      </c>
      <c r="K43" s="450">
        <f>'[2]3.Interné služby'!$P$30</f>
        <v>0</v>
      </c>
      <c r="L43" s="315">
        <f t="shared" ref="L43:L45" si="49">SUM(M43:O43)</f>
        <v>2360</v>
      </c>
      <c r="M43" s="309">
        <f>'[2]3.Interné služby'!$Q$30</f>
        <v>2360</v>
      </c>
      <c r="N43" s="309">
        <f>'[2]3.Interné služby'!$R$30</f>
        <v>0</v>
      </c>
      <c r="O43" s="338">
        <f>'[2]3.Interné služby'!$S$30</f>
        <v>0</v>
      </c>
      <c r="P43" s="315">
        <f t="shared" ref="P43:P45" si="50">SUM(Q43:S43)</f>
        <v>2357.02</v>
      </c>
      <c r="Q43" s="309">
        <f>'[2]3.Interné služby'!$T$30</f>
        <v>2357.02</v>
      </c>
      <c r="R43" s="309">
        <f>'[2]3.Interné služby'!$U$30</f>
        <v>0</v>
      </c>
      <c r="S43" s="310">
        <f>'[2]3.Interné služby'!$V$30</f>
        <v>0</v>
      </c>
    </row>
    <row r="44" spans="1:19" ht="15.75" x14ac:dyDescent="0.25">
      <c r="A44" s="155"/>
      <c r="B44" s="344">
        <v>3</v>
      </c>
      <c r="C44" s="346" t="s">
        <v>195</v>
      </c>
      <c r="D44" s="308">
        <f t="shared" si="47"/>
        <v>207103.75999999995</v>
      </c>
      <c r="E44" s="307">
        <f>'[1]3.Interné služby'!$T$31</f>
        <v>175625.53999999995</v>
      </c>
      <c r="F44" s="307">
        <f>'[1]3.Interné služby'!$U$31</f>
        <v>31478.22</v>
      </c>
      <c r="G44" s="325">
        <f>'[1]3.Interné služby'!$V$31</f>
        <v>0</v>
      </c>
      <c r="H44" s="488">
        <f t="shared" si="48"/>
        <v>163703.50000000006</v>
      </c>
      <c r="I44" s="495">
        <f>'[2]3.Interné služby'!$N$33</f>
        <v>163316.50000000006</v>
      </c>
      <c r="J44" s="495">
        <f>'[2]3.Interné služby'!$O$33</f>
        <v>387</v>
      </c>
      <c r="K44" s="450">
        <f>'[2]3.Interné služby'!$P$33</f>
        <v>0</v>
      </c>
      <c r="L44" s="315">
        <f t="shared" si="49"/>
        <v>2260660</v>
      </c>
      <c r="M44" s="309">
        <f>'[2]3.Interné služby'!$Q$33</f>
        <v>208020</v>
      </c>
      <c r="N44" s="309">
        <f>'[2]3.Interné služby'!$R$33</f>
        <v>2052640</v>
      </c>
      <c r="O44" s="338">
        <f>'[2]3.Interné služby'!$S$33</f>
        <v>0</v>
      </c>
      <c r="P44" s="315">
        <f t="shared" si="50"/>
        <v>2224289.15</v>
      </c>
      <c r="Q44" s="309">
        <f>'[2]3.Interné služby'!$T$33</f>
        <v>173217.00000000003</v>
      </c>
      <c r="R44" s="309">
        <f>'[2]3.Interné služby'!$U$33</f>
        <v>2051072.15</v>
      </c>
      <c r="S44" s="310">
        <f>'[2]3.Interné služby'!$V$33</f>
        <v>0</v>
      </c>
    </row>
    <row r="45" spans="1:19" ht="15.75" x14ac:dyDescent="0.25">
      <c r="A45" s="155"/>
      <c r="B45" s="344">
        <v>4</v>
      </c>
      <c r="C45" s="346" t="s">
        <v>196</v>
      </c>
      <c r="D45" s="308">
        <f t="shared" si="47"/>
        <v>10582</v>
      </c>
      <c r="E45" s="307">
        <f>'[1]3.Interné služby'!$T$76</f>
        <v>10582</v>
      </c>
      <c r="F45" s="307">
        <f>'[1]3.Interné služby'!$U$76</f>
        <v>0</v>
      </c>
      <c r="G45" s="325">
        <f>'[1]3.Interné služby'!$V$76</f>
        <v>0</v>
      </c>
      <c r="H45" s="488">
        <f t="shared" si="48"/>
        <v>8223</v>
      </c>
      <c r="I45" s="495">
        <f>'[2]3.Interné služby'!$N$86</f>
        <v>8219</v>
      </c>
      <c r="J45" s="495">
        <f>'[2]3.Interné služby'!$O$86</f>
        <v>4</v>
      </c>
      <c r="K45" s="450">
        <f>'[2]3.Interné služby'!$P$86</f>
        <v>0</v>
      </c>
      <c r="L45" s="315">
        <f t="shared" si="49"/>
        <v>71269</v>
      </c>
      <c r="M45" s="309">
        <f>'[2]3.Interné služby'!$Q$86</f>
        <v>2760</v>
      </c>
      <c r="N45" s="309">
        <f>'[2]3.Interné služby'!$R$86</f>
        <v>68509</v>
      </c>
      <c r="O45" s="338">
        <f>'[2]3.Interné služby'!$S$86</f>
        <v>0</v>
      </c>
      <c r="P45" s="315">
        <f t="shared" si="50"/>
        <v>68653.95</v>
      </c>
      <c r="Q45" s="309">
        <f>'[2]3.Interné služby'!$T$86</f>
        <v>1930.1399999999999</v>
      </c>
      <c r="R45" s="309">
        <f>'[2]3.Interné služby'!$U$86</f>
        <v>66723.81</v>
      </c>
      <c r="S45" s="310">
        <f>'[2]3.Interné služby'!$V$86</f>
        <v>0</v>
      </c>
    </row>
    <row r="46" spans="1:19" ht="15.75" x14ac:dyDescent="0.25">
      <c r="A46" s="155"/>
      <c r="B46" s="344" t="s">
        <v>197</v>
      </c>
      <c r="C46" s="346" t="s">
        <v>198</v>
      </c>
      <c r="D46" s="308">
        <f t="shared" si="47"/>
        <v>6497.48</v>
      </c>
      <c r="E46" s="307">
        <f>'[1]3.Interné služby'!$T$79</f>
        <v>6497.48</v>
      </c>
      <c r="F46" s="307">
        <f>'[1]3.Interné služby'!$U$79</f>
        <v>0</v>
      </c>
      <c r="G46" s="325">
        <f>'[1]3.Interné služby'!$V$79</f>
        <v>0</v>
      </c>
      <c r="H46" s="488">
        <f t="shared" si="48"/>
        <v>4281.7</v>
      </c>
      <c r="I46" s="495">
        <f>'[2]3.Interné služby'!$N$91</f>
        <v>4281.7</v>
      </c>
      <c r="J46" s="495">
        <f>'[2]3.Interné služby'!$O$91</f>
        <v>0</v>
      </c>
      <c r="K46" s="450">
        <f>'[2]3.Interné služby'!$P$91</f>
        <v>0</v>
      </c>
      <c r="L46" s="315">
        <f>SUM(M46:O46)</f>
        <v>6900</v>
      </c>
      <c r="M46" s="309">
        <f>'[2]3.Interné služby'!$Q$91</f>
        <v>6900</v>
      </c>
      <c r="N46" s="309">
        <f>'[2]3.Interné služby'!$R$91</f>
        <v>0</v>
      </c>
      <c r="O46" s="338">
        <f>'[2]3.Interné služby'!$S$91</f>
        <v>0</v>
      </c>
      <c r="P46" s="315">
        <f>SUM(Q46:S46)</f>
        <v>6711.8</v>
      </c>
      <c r="Q46" s="309">
        <f>'[2]3.Interné služby'!$T$91</f>
        <v>6711.8</v>
      </c>
      <c r="R46" s="309">
        <f>'[2]3.Interné služby'!$U$91</f>
        <v>0</v>
      </c>
      <c r="S46" s="310">
        <f>'[2]3.Interné služby'!$V$91</f>
        <v>0</v>
      </c>
    </row>
    <row r="47" spans="1:19" ht="16.5" thickBot="1" x14ac:dyDescent="0.3">
      <c r="A47" s="155"/>
      <c r="B47" s="352" t="s">
        <v>199</v>
      </c>
      <c r="C47" s="348" t="s">
        <v>200</v>
      </c>
      <c r="D47" s="313">
        <f t="shared" si="47"/>
        <v>0</v>
      </c>
      <c r="E47" s="314">
        <f>'[1]3.Interné služby'!$T$85</f>
        <v>0</v>
      </c>
      <c r="F47" s="314">
        <f>'[1]3.Interné služby'!$U$85</f>
        <v>0</v>
      </c>
      <c r="G47" s="335">
        <f>'[1]3.Interné služby'!$V$85</f>
        <v>0</v>
      </c>
      <c r="H47" s="490">
        <f t="shared" si="48"/>
        <v>0</v>
      </c>
      <c r="I47" s="497">
        <f>'[2]3.Interné služby'!$N$97</f>
        <v>0</v>
      </c>
      <c r="J47" s="497">
        <f>'[2]3.Interné služby'!$O$97</f>
        <v>0</v>
      </c>
      <c r="K47" s="474">
        <f>'[2]3.Interné služby'!$P$97</f>
        <v>0</v>
      </c>
      <c r="L47" s="336">
        <f t="shared" ref="L47" si="51">SUM(M47:O47)</f>
        <v>600</v>
      </c>
      <c r="M47" s="337">
        <f>'[2]3.Interné služby'!$Q$97</f>
        <v>600</v>
      </c>
      <c r="N47" s="337">
        <f>'[2]3.Interné služby'!$R$97</f>
        <v>0</v>
      </c>
      <c r="O47" s="501">
        <f>'[2]3.Interné služby'!$S$97</f>
        <v>0</v>
      </c>
      <c r="P47" s="336">
        <f t="shared" ref="P47" si="52">SUM(Q47:S47)</f>
        <v>27.35</v>
      </c>
      <c r="Q47" s="337">
        <f>'[2]3.Interné služby'!$T$97</f>
        <v>27.35</v>
      </c>
      <c r="R47" s="337">
        <f>'[2]3.Interné služby'!$U$97</f>
        <v>0</v>
      </c>
      <c r="S47" s="379">
        <f>'[2]3.Interné služby'!$V$97</f>
        <v>0</v>
      </c>
    </row>
    <row r="48" spans="1:19" s="157" customFormat="1" ht="15.75" x14ac:dyDescent="0.25">
      <c r="B48" s="353" t="s">
        <v>201</v>
      </c>
      <c r="C48" s="354"/>
      <c r="D48" s="306">
        <f t="shared" ref="D48:G48" si="53">D49+D50+D53</f>
        <v>40172.03</v>
      </c>
      <c r="E48" s="305">
        <f t="shared" si="53"/>
        <v>40172.03</v>
      </c>
      <c r="F48" s="305">
        <f t="shared" si="53"/>
        <v>0</v>
      </c>
      <c r="G48" s="331">
        <f t="shared" si="53"/>
        <v>0</v>
      </c>
      <c r="H48" s="332">
        <f>H49+H50+H53</f>
        <v>45459.72</v>
      </c>
      <c r="I48" s="333">
        <f t="shared" ref="I48:K48" si="54">I49+I50+I53</f>
        <v>45459.72</v>
      </c>
      <c r="J48" s="333">
        <f t="shared" si="54"/>
        <v>0</v>
      </c>
      <c r="K48" s="334">
        <f t="shared" si="54"/>
        <v>0</v>
      </c>
      <c r="L48" s="332">
        <f>L49+L50+L53</f>
        <v>53270</v>
      </c>
      <c r="M48" s="333">
        <f t="shared" ref="M48:O48" si="55">M49+M50+M53</f>
        <v>53270</v>
      </c>
      <c r="N48" s="333">
        <f t="shared" si="55"/>
        <v>0</v>
      </c>
      <c r="O48" s="434">
        <f t="shared" si="55"/>
        <v>0</v>
      </c>
      <c r="P48" s="332">
        <f>P49+P50+P53</f>
        <v>45079.040000000001</v>
      </c>
      <c r="Q48" s="333">
        <f t="shared" ref="Q48:S48" si="56">Q49+Q50+Q53</f>
        <v>45079.040000000001</v>
      </c>
      <c r="R48" s="333">
        <f t="shared" si="56"/>
        <v>0</v>
      </c>
      <c r="S48" s="334">
        <f t="shared" si="56"/>
        <v>0</v>
      </c>
    </row>
    <row r="49" spans="1:19" ht="15.75" x14ac:dyDescent="0.25">
      <c r="A49" s="155"/>
      <c r="B49" s="344" t="s">
        <v>202</v>
      </c>
      <c r="C49" s="346" t="s">
        <v>203</v>
      </c>
      <c r="D49" s="308">
        <f>SUM(E49:G49)</f>
        <v>20510.77</v>
      </c>
      <c r="E49" s="307">
        <f>'[1]4.Služby občanov'!$T$4</f>
        <v>20510.77</v>
      </c>
      <c r="F49" s="307">
        <f>'[1]4.Služby občanov'!$U$4</f>
        <v>0</v>
      </c>
      <c r="G49" s="325">
        <f>'[1]4.Služby občanov'!$V$4</f>
        <v>0</v>
      </c>
      <c r="H49" s="315">
        <f>SUM(I49:K49)</f>
        <v>24710.9</v>
      </c>
      <c r="I49" s="309">
        <f>'[2]4.Služby občanov'!$N$4</f>
        <v>24710.9</v>
      </c>
      <c r="J49" s="309">
        <f>'[2]4.Služby občanov'!$O$4</f>
        <v>0</v>
      </c>
      <c r="K49" s="310">
        <f>'[2]4.Služby občanov'!$P$4</f>
        <v>0</v>
      </c>
      <c r="L49" s="315">
        <f>SUM(M49:O49)</f>
        <v>30750</v>
      </c>
      <c r="M49" s="309">
        <f>'[2]4.Služby občanov'!$Q$4</f>
        <v>30750</v>
      </c>
      <c r="N49" s="309">
        <f>'[2]4.Služby občanov'!$R$4</f>
        <v>0</v>
      </c>
      <c r="O49" s="338">
        <f>'[2]4.Služby občanov'!$S$4</f>
        <v>0</v>
      </c>
      <c r="P49" s="315">
        <f>SUM(Q49:S49)</f>
        <v>22668.84</v>
      </c>
      <c r="Q49" s="309">
        <f>'[2]4.Služby občanov'!$T$4</f>
        <v>22668.84</v>
      </c>
      <c r="R49" s="309">
        <f>'[2]4.Služby občanov'!$U$4</f>
        <v>0</v>
      </c>
      <c r="S49" s="310">
        <f>'[2]4.Služby občanov'!$V$4</f>
        <v>0</v>
      </c>
    </row>
    <row r="50" spans="1:19" ht="15.75" x14ac:dyDescent="0.25">
      <c r="A50" s="159"/>
      <c r="B50" s="344" t="s">
        <v>204</v>
      </c>
      <c r="C50" s="346" t="s">
        <v>205</v>
      </c>
      <c r="D50" s="308">
        <f t="shared" ref="D50:G50" si="57">SUM(D51:D52)</f>
        <v>19661.259999999998</v>
      </c>
      <c r="E50" s="307">
        <f t="shared" si="57"/>
        <v>19661.259999999998</v>
      </c>
      <c r="F50" s="307">
        <f t="shared" si="57"/>
        <v>0</v>
      </c>
      <c r="G50" s="325">
        <f t="shared" si="57"/>
        <v>0</v>
      </c>
      <c r="H50" s="315">
        <f>SUM(H51:H52)</f>
        <v>20748.82</v>
      </c>
      <c r="I50" s="309">
        <f t="shared" ref="I50:K50" si="58">SUM(I51:I52)</f>
        <v>20748.82</v>
      </c>
      <c r="J50" s="309">
        <f t="shared" si="58"/>
        <v>0</v>
      </c>
      <c r="K50" s="310">
        <f t="shared" si="58"/>
        <v>0</v>
      </c>
      <c r="L50" s="315">
        <f>SUM(L51:L52)</f>
        <v>22520</v>
      </c>
      <c r="M50" s="309">
        <f t="shared" ref="M50:O50" si="59">SUM(M51:M52)</f>
        <v>22520</v>
      </c>
      <c r="N50" s="309">
        <f t="shared" si="59"/>
        <v>0</v>
      </c>
      <c r="O50" s="338">
        <f t="shared" si="59"/>
        <v>0</v>
      </c>
      <c r="P50" s="315">
        <f>SUM(P51:P52)</f>
        <v>22410.2</v>
      </c>
      <c r="Q50" s="309">
        <f t="shared" ref="Q50:S50" si="60">SUM(Q51:Q52)</f>
        <v>22410.2</v>
      </c>
      <c r="R50" s="309">
        <f t="shared" si="60"/>
        <v>0</v>
      </c>
      <c r="S50" s="310">
        <f t="shared" si="60"/>
        <v>0</v>
      </c>
    </row>
    <row r="51" spans="1:19" ht="15.75" x14ac:dyDescent="0.25">
      <c r="A51" s="159"/>
      <c r="B51" s="344">
        <v>1</v>
      </c>
      <c r="C51" s="346" t="s">
        <v>206</v>
      </c>
      <c r="D51" s="308">
        <f>SUM(E51:G51)</f>
        <v>19661.259999999998</v>
      </c>
      <c r="E51" s="307">
        <f>'[1]4.Služby občanov'!$T$17</f>
        <v>19661.259999999998</v>
      </c>
      <c r="F51" s="307">
        <f>'[1]4.Služby občanov'!$U$17</f>
        <v>0</v>
      </c>
      <c r="G51" s="325">
        <f>'[1]4.Služby občanov'!$V$17</f>
        <v>0</v>
      </c>
      <c r="H51" s="315">
        <f>SUM(I51:K51)</f>
        <v>20748.82</v>
      </c>
      <c r="I51" s="309">
        <f>'[2]4.Služby občanov'!$N$17</f>
        <v>20748.82</v>
      </c>
      <c r="J51" s="309">
        <f>'[2]4.Služby občanov'!$O$17</f>
        <v>0</v>
      </c>
      <c r="K51" s="310">
        <f>'[2]4.Služby občanov'!$P$17</f>
        <v>0</v>
      </c>
      <c r="L51" s="315">
        <f>SUM(M51:O51)</f>
        <v>22520</v>
      </c>
      <c r="M51" s="309">
        <f>'[2]4.Služby občanov'!$Q$17</f>
        <v>22520</v>
      </c>
      <c r="N51" s="309">
        <f>'[2]4.Služby občanov'!$R$17</f>
        <v>0</v>
      </c>
      <c r="O51" s="338">
        <f>'[2]4.Služby občanov'!$S$17</f>
        <v>0</v>
      </c>
      <c r="P51" s="315">
        <f>SUM(Q51:S51)</f>
        <v>22410.2</v>
      </c>
      <c r="Q51" s="309">
        <f>'[2]4.Služby občanov'!$T$17</f>
        <v>22410.2</v>
      </c>
      <c r="R51" s="309">
        <f>'[2]4.Služby občanov'!$U$17</f>
        <v>0</v>
      </c>
      <c r="S51" s="310">
        <f>'[2]4.Služby občanov'!$V$17</f>
        <v>0</v>
      </c>
    </row>
    <row r="52" spans="1:19" ht="15.75" x14ac:dyDescent="0.25">
      <c r="A52" s="159"/>
      <c r="B52" s="344">
        <v>2</v>
      </c>
      <c r="C52" s="346" t="s">
        <v>207</v>
      </c>
      <c r="D52" s="308">
        <f>SUM(E52:G52)</f>
        <v>0</v>
      </c>
      <c r="E52" s="307">
        <f>'[1]4.Služby občanov'!$T$27</f>
        <v>0</v>
      </c>
      <c r="F52" s="307">
        <f>'[1]4.Služby občanov'!$U$27</f>
        <v>0</v>
      </c>
      <c r="G52" s="325">
        <f>'[1]4.Služby občanov'!$V$27</f>
        <v>0</v>
      </c>
      <c r="H52" s="315">
        <f t="shared" ref="H52:H53" si="61">SUM(I52:K52)</f>
        <v>0</v>
      </c>
      <c r="I52" s="309">
        <f>'[2]4.Služby občanov'!$N$27</f>
        <v>0</v>
      </c>
      <c r="J52" s="309">
        <f>'[2]4.Služby občanov'!$O$27</f>
        <v>0</v>
      </c>
      <c r="K52" s="310">
        <f>'[2]4.Služby občanov'!$P$27</f>
        <v>0</v>
      </c>
      <c r="L52" s="315">
        <f t="shared" ref="L52:L53" si="62">SUM(M52:O52)</f>
        <v>0</v>
      </c>
      <c r="M52" s="309">
        <f>'[2]4.Služby občanov'!$Q$27</f>
        <v>0</v>
      </c>
      <c r="N52" s="309">
        <f>'[2]4.Služby občanov'!$R$27</f>
        <v>0</v>
      </c>
      <c r="O52" s="338">
        <f>'[2]4.Služby občanov'!$S$27</f>
        <v>0</v>
      </c>
      <c r="P52" s="315">
        <f t="shared" ref="P52:P53" si="63">SUM(Q52:S52)</f>
        <v>0</v>
      </c>
      <c r="Q52" s="309">
        <f>'[2]4.Služby občanov'!$T$27</f>
        <v>0</v>
      </c>
      <c r="R52" s="309">
        <f>'[2]4.Služby občanov'!$U$27</f>
        <v>0</v>
      </c>
      <c r="S52" s="310">
        <f>'[2]4.Služby občanov'!$V$27</f>
        <v>0</v>
      </c>
    </row>
    <row r="53" spans="1:19" ht="16.5" outlineLevel="1" thickBot="1" x14ac:dyDescent="0.3">
      <c r="A53" s="159"/>
      <c r="B53" s="355" t="s">
        <v>208</v>
      </c>
      <c r="C53" s="348" t="s">
        <v>209</v>
      </c>
      <c r="D53" s="313">
        <f>SUM(E53:G53)</f>
        <v>0</v>
      </c>
      <c r="E53" s="314">
        <f>'[1]4.Služby občanov'!$T$29</f>
        <v>0</v>
      </c>
      <c r="F53" s="314">
        <f>'[1]4.Služby občanov'!$U$29</f>
        <v>0</v>
      </c>
      <c r="G53" s="335">
        <f>'[1]4.Služby občanov'!$V$29</f>
        <v>0</v>
      </c>
      <c r="H53" s="328">
        <f t="shared" si="61"/>
        <v>0</v>
      </c>
      <c r="I53" s="329">
        <f>'[2]4.Služby občanov'!$N$29</f>
        <v>0</v>
      </c>
      <c r="J53" s="329">
        <f>'[2]4.Služby občanov'!$O$29</f>
        <v>0</v>
      </c>
      <c r="K53" s="330">
        <f>'[2]4.Služby občanov'!$P$29</f>
        <v>0</v>
      </c>
      <c r="L53" s="336">
        <f t="shared" si="62"/>
        <v>0</v>
      </c>
      <c r="M53" s="337">
        <f>'[2]4.Služby občanov'!$Q$29</f>
        <v>0</v>
      </c>
      <c r="N53" s="337">
        <f>'[2]4.Služby občanov'!$R$29</f>
        <v>0</v>
      </c>
      <c r="O53" s="501">
        <f>'[2]4.Služby občanov'!$S$29</f>
        <v>0</v>
      </c>
      <c r="P53" s="336">
        <f t="shared" si="63"/>
        <v>0</v>
      </c>
      <c r="Q53" s="337">
        <f>'[2]4.Služby občanov'!$T$29</f>
        <v>0</v>
      </c>
      <c r="R53" s="337">
        <f>'[2]4.Služby občanov'!$U$29</f>
        <v>0</v>
      </c>
      <c r="S53" s="379">
        <f>'[2]4.Služby občanov'!$V$29</f>
        <v>0</v>
      </c>
    </row>
    <row r="54" spans="1:19" s="157" customFormat="1" ht="15.75" x14ac:dyDescent="0.25">
      <c r="A54" s="159"/>
      <c r="B54" s="349" t="s">
        <v>210</v>
      </c>
      <c r="C54" s="356"/>
      <c r="D54" s="306">
        <f t="shared" ref="D54:G54" si="64">D55+D60+D61+D62+D67</f>
        <v>1396446.2799999998</v>
      </c>
      <c r="E54" s="305">
        <f t="shared" si="64"/>
        <v>793760.63999999978</v>
      </c>
      <c r="F54" s="305">
        <f t="shared" si="64"/>
        <v>4125</v>
      </c>
      <c r="G54" s="331">
        <f t="shared" si="64"/>
        <v>598560.64</v>
      </c>
      <c r="H54" s="487">
        <f>H55+H60+H61+H62+H67</f>
        <v>1102804.9999999998</v>
      </c>
      <c r="I54" s="494">
        <f t="shared" ref="I54:K54" si="65">I55+I60+I61+I62+I67</f>
        <v>818973.79999999993</v>
      </c>
      <c r="J54" s="494">
        <f t="shared" si="65"/>
        <v>269703.96999999997</v>
      </c>
      <c r="K54" s="472">
        <f t="shared" si="65"/>
        <v>14127.23</v>
      </c>
      <c r="L54" s="332">
        <f>L55+L60+L62+L61+L67</f>
        <v>1266847</v>
      </c>
      <c r="M54" s="333">
        <f>M55+M60+M62+M61+M67</f>
        <v>976300</v>
      </c>
      <c r="N54" s="333">
        <f t="shared" ref="N54:O54" si="66">N55+N60+N62+N61+N67</f>
        <v>275547</v>
      </c>
      <c r="O54" s="434">
        <f t="shared" si="66"/>
        <v>15000</v>
      </c>
      <c r="P54" s="332">
        <f>P55+P60+P62+P61+P67</f>
        <v>1215162.1099999999</v>
      </c>
      <c r="Q54" s="333">
        <f>Q55+Q60+Q62+Q61+Q67</f>
        <v>930976.27000000014</v>
      </c>
      <c r="R54" s="333">
        <f t="shared" ref="R54:S54" si="67">R55+R60+R62+R61+R67</f>
        <v>269820.08</v>
      </c>
      <c r="S54" s="334">
        <f t="shared" si="67"/>
        <v>14365.76</v>
      </c>
    </row>
    <row r="55" spans="1:19" ht="15.75" x14ac:dyDescent="0.25">
      <c r="A55" s="159"/>
      <c r="B55" s="357" t="s">
        <v>211</v>
      </c>
      <c r="C55" s="345" t="s">
        <v>212</v>
      </c>
      <c r="D55" s="308">
        <f t="shared" ref="D55:G55" si="68">SUM(D56:D59)</f>
        <v>587771.59999999986</v>
      </c>
      <c r="E55" s="307">
        <f t="shared" si="68"/>
        <v>570024.71999999986</v>
      </c>
      <c r="F55" s="307">
        <f t="shared" si="68"/>
        <v>4125</v>
      </c>
      <c r="G55" s="325">
        <f t="shared" si="68"/>
        <v>13621.88</v>
      </c>
      <c r="H55" s="488">
        <f>SUM(H56:H59)</f>
        <v>670803.37999999977</v>
      </c>
      <c r="I55" s="495">
        <f>SUM(I56:I59)</f>
        <v>639970.22999999986</v>
      </c>
      <c r="J55" s="495">
        <f t="shared" ref="J55:K55" si="69">SUM(J56:J59)</f>
        <v>16705.919999999998</v>
      </c>
      <c r="K55" s="450">
        <f t="shared" si="69"/>
        <v>14127.23</v>
      </c>
      <c r="L55" s="315">
        <f>SUM(L56:L60)</f>
        <v>750300</v>
      </c>
      <c r="M55" s="309">
        <f>SUM(M56:M60)</f>
        <v>735300</v>
      </c>
      <c r="N55" s="309">
        <f t="shared" ref="N55:O55" si="70">SUM(N56:N60)</f>
        <v>0</v>
      </c>
      <c r="O55" s="338">
        <f t="shared" si="70"/>
        <v>15000</v>
      </c>
      <c r="P55" s="315">
        <f>SUM(P56:P60)</f>
        <v>734405.98</v>
      </c>
      <c r="Q55" s="309">
        <f>SUM(Q56:Q60)</f>
        <v>720040.22000000009</v>
      </c>
      <c r="R55" s="309">
        <f t="shared" ref="R55:S55" si="71">SUM(R56:R60)</f>
        <v>0</v>
      </c>
      <c r="S55" s="310">
        <f t="shared" si="71"/>
        <v>14365.76</v>
      </c>
    </row>
    <row r="56" spans="1:19" ht="15.75" x14ac:dyDescent="0.25">
      <c r="A56" s="159"/>
      <c r="B56" s="344">
        <v>1</v>
      </c>
      <c r="C56" s="346" t="s">
        <v>213</v>
      </c>
      <c r="D56" s="308">
        <f t="shared" ref="D56:D61" si="72">SUM(E56:G56)</f>
        <v>422552.23999999987</v>
      </c>
      <c r="E56" s="307">
        <f>'[1]5.Bezpečnosť, právo a por.'!$T$5</f>
        <v>404805.35999999987</v>
      </c>
      <c r="F56" s="307">
        <f>'[1]5.Bezpečnosť, právo a por.'!$U$5</f>
        <v>4125</v>
      </c>
      <c r="G56" s="325">
        <f>'[1]5.Bezpečnosť, právo a por.'!$V$5</f>
        <v>13621.88</v>
      </c>
      <c r="H56" s="488">
        <f>SUM(I56:K56)</f>
        <v>473012.86999999976</v>
      </c>
      <c r="I56" s="495">
        <f>'[2]5.Bezpečnosť, právo a por.'!$N$5</f>
        <v>458885.63999999978</v>
      </c>
      <c r="J56" s="495">
        <f>'[2]5.Bezpečnosť, právo a por.'!$O$5</f>
        <v>0</v>
      </c>
      <c r="K56" s="450">
        <f>'[2]5.Bezpečnosť, právo a por.'!$P$5</f>
        <v>14127.23</v>
      </c>
      <c r="L56" s="315">
        <f>SUM(M56:O56)</f>
        <v>539200</v>
      </c>
      <c r="M56" s="309">
        <f>'[2]5.Bezpečnosť, právo a por.'!$Q$5</f>
        <v>524200</v>
      </c>
      <c r="N56" s="309">
        <f>'[2]5.Bezpečnosť, právo a por.'!$R$5</f>
        <v>0</v>
      </c>
      <c r="O56" s="338">
        <f>'[2]5.Bezpečnosť, právo a por.'!$S$5</f>
        <v>15000</v>
      </c>
      <c r="P56" s="315">
        <f>SUM(Q56:S56)</f>
        <v>531161.48</v>
      </c>
      <c r="Q56" s="309">
        <f>'[2]5.Bezpečnosť, právo a por.'!$T$5</f>
        <v>516795.72000000003</v>
      </c>
      <c r="R56" s="309">
        <f>'[2]5.Bezpečnosť, právo a por.'!$U$5</f>
        <v>0</v>
      </c>
      <c r="S56" s="310">
        <f>'[2]5.Bezpečnosť, právo a por.'!$V$5</f>
        <v>14365.76</v>
      </c>
    </row>
    <row r="57" spans="1:19" ht="15.75" x14ac:dyDescent="0.25">
      <c r="A57" s="155"/>
      <c r="B57" s="344">
        <v>2</v>
      </c>
      <c r="C57" s="346" t="s">
        <v>214</v>
      </c>
      <c r="D57" s="308">
        <f t="shared" si="72"/>
        <v>78615.479999999981</v>
      </c>
      <c r="E57" s="307">
        <f>'[1]5.Bezpečnosť, právo a por.'!$T$52</f>
        <v>78615.479999999981</v>
      </c>
      <c r="F57" s="307">
        <f>'[1]5.Bezpečnosť, právo a por.'!$U$52</f>
        <v>0</v>
      </c>
      <c r="G57" s="325">
        <f>'[1]5.Bezpečnosť, právo a por.'!$V$52</f>
        <v>0</v>
      </c>
      <c r="H57" s="488">
        <f t="shared" ref="H57:H61" si="73">SUM(I57:K57)</f>
        <v>103234.68</v>
      </c>
      <c r="I57" s="495">
        <f>'[2]5.Bezpečnosť, právo a por.'!$N$56</f>
        <v>86528.76</v>
      </c>
      <c r="J57" s="495">
        <f>'[2]5.Bezpečnosť, právo a por.'!$O$56</f>
        <v>16705.919999999998</v>
      </c>
      <c r="K57" s="450">
        <f>'[2]5.Bezpečnosť, právo a por.'!$P$56</f>
        <v>0</v>
      </c>
      <c r="L57" s="315">
        <f t="shared" ref="L57:L60" si="74">SUM(M57:O57)</f>
        <v>104100</v>
      </c>
      <c r="M57" s="309">
        <f>'[2]5.Bezpečnosť, právo a por.'!$Q$56</f>
        <v>104100</v>
      </c>
      <c r="N57" s="309">
        <f>'[2]5.Bezpečnosť, právo a por.'!$R$56</f>
        <v>0</v>
      </c>
      <c r="O57" s="338">
        <f>'[2]5.Bezpečnosť, právo a por.'!$S$56</f>
        <v>0</v>
      </c>
      <c r="P57" s="315">
        <f t="shared" ref="P57:P60" si="75">SUM(Q57:S57)</f>
        <v>97906.209999999992</v>
      </c>
      <c r="Q57" s="309">
        <f>'[2]5.Bezpečnosť, právo a por.'!$T$56</f>
        <v>97906.209999999992</v>
      </c>
      <c r="R57" s="309">
        <f>'[2]5.Bezpečnosť, právo a por.'!$U$56</f>
        <v>0</v>
      </c>
      <c r="S57" s="310">
        <f>'[2]5.Bezpečnosť, právo a por.'!$V$56</f>
        <v>0</v>
      </c>
    </row>
    <row r="58" spans="1:19" ht="15.75" x14ac:dyDescent="0.25">
      <c r="A58" s="158"/>
      <c r="B58" s="344">
        <v>3</v>
      </c>
      <c r="C58" s="346" t="s">
        <v>215</v>
      </c>
      <c r="D58" s="308">
        <f t="shared" si="72"/>
        <v>41127.019999999997</v>
      </c>
      <c r="E58" s="307">
        <f>'[1]5.Bezpečnosť, právo a por.'!$T$72</f>
        <v>41127.019999999997</v>
      </c>
      <c r="F58" s="307">
        <f>'[1]5.Bezpečnosť, právo a por.'!$U$72</f>
        <v>0</v>
      </c>
      <c r="G58" s="325">
        <f>'[1]5.Bezpečnosť, právo a por.'!$V$72</f>
        <v>0</v>
      </c>
      <c r="H58" s="488">
        <f t="shared" si="73"/>
        <v>45720.94</v>
      </c>
      <c r="I58" s="495">
        <f>'[2]5.Bezpečnosť, právo a por.'!$N$76</f>
        <v>45720.94</v>
      </c>
      <c r="J58" s="495">
        <f>'[2]5.Bezpečnosť, právo a por.'!$O$76</f>
        <v>0</v>
      </c>
      <c r="K58" s="450">
        <f>'[2]5.Bezpečnosť, právo a por.'!$P$76</f>
        <v>0</v>
      </c>
      <c r="L58" s="315">
        <f t="shared" si="74"/>
        <v>51450</v>
      </c>
      <c r="M58" s="309">
        <f>'[2]5.Bezpečnosť, právo a por.'!$Q$76</f>
        <v>51450</v>
      </c>
      <c r="N58" s="309">
        <f>'[2]5.Bezpečnosť, právo a por.'!$R$76</f>
        <v>0</v>
      </c>
      <c r="O58" s="338">
        <f>'[2]5.Bezpečnosť, právo a por.'!$S$76</f>
        <v>0</v>
      </c>
      <c r="P58" s="315">
        <f t="shared" si="75"/>
        <v>51328.92</v>
      </c>
      <c r="Q58" s="309">
        <f>'[2]5.Bezpečnosť, právo a por.'!$T$76</f>
        <v>51328.92</v>
      </c>
      <c r="R58" s="309">
        <f>'[2]5.Bezpečnosť, právo a por.'!$U$76</f>
        <v>0</v>
      </c>
      <c r="S58" s="310">
        <f>'[2]5.Bezpečnosť, právo a por.'!$V$76</f>
        <v>0</v>
      </c>
    </row>
    <row r="59" spans="1:19" ht="15.75" x14ac:dyDescent="0.25">
      <c r="A59" s="158"/>
      <c r="B59" s="344">
        <v>4</v>
      </c>
      <c r="C59" s="346" t="s">
        <v>216</v>
      </c>
      <c r="D59" s="308">
        <f t="shared" si="72"/>
        <v>45476.86</v>
      </c>
      <c r="E59" s="307">
        <f>'[1]5.Bezpečnosť, právo a por.'!$T$75</f>
        <v>45476.86</v>
      </c>
      <c r="F59" s="307">
        <f>'[1]5.Bezpečnosť, právo a por.'!$U$75</f>
        <v>0</v>
      </c>
      <c r="G59" s="325">
        <f>'[1]5.Bezpečnosť, právo a por.'!$V$75</f>
        <v>0</v>
      </c>
      <c r="H59" s="488">
        <f t="shared" si="73"/>
        <v>48834.889999999992</v>
      </c>
      <c r="I59" s="495">
        <f>'[2]5.Bezpečnosť, právo a por.'!$N$79</f>
        <v>48834.889999999992</v>
      </c>
      <c r="J59" s="495">
        <f>'[2]5.Bezpečnosť, právo a por.'!$O$79</f>
        <v>0</v>
      </c>
      <c r="K59" s="450">
        <f>'[2]5.Bezpečnosť, právo a por.'!$P$79</f>
        <v>0</v>
      </c>
      <c r="L59" s="315">
        <f t="shared" si="74"/>
        <v>55550</v>
      </c>
      <c r="M59" s="309">
        <f>'[2]5.Bezpečnosť, právo a por.'!$Q$79</f>
        <v>55550</v>
      </c>
      <c r="N59" s="309">
        <f>'[2]5.Bezpečnosť, právo a por.'!$R$79</f>
        <v>0</v>
      </c>
      <c r="O59" s="338">
        <f>'[2]5.Bezpečnosť, právo a por.'!$S$79</f>
        <v>0</v>
      </c>
      <c r="P59" s="315">
        <f t="shared" si="75"/>
        <v>54009.369999999995</v>
      </c>
      <c r="Q59" s="309">
        <f>'[2]5.Bezpečnosť, právo a por.'!$T$79</f>
        <v>54009.369999999995</v>
      </c>
      <c r="R59" s="309">
        <f>'[2]5.Bezpečnosť, právo a por.'!$U$79</f>
        <v>0</v>
      </c>
      <c r="S59" s="310">
        <f>'[2]5.Bezpečnosť, právo a por.'!$V$79</f>
        <v>0</v>
      </c>
    </row>
    <row r="60" spans="1:19" ht="15.75" x14ac:dyDescent="0.25">
      <c r="A60" s="155"/>
      <c r="B60" s="357" t="s">
        <v>217</v>
      </c>
      <c r="C60" s="346" t="s">
        <v>218</v>
      </c>
      <c r="D60" s="308">
        <f t="shared" si="72"/>
        <v>0</v>
      </c>
      <c r="E60" s="307">
        <f>'[1]5.Bezpečnosť, právo a por.'!$T$82</f>
        <v>0</v>
      </c>
      <c r="F60" s="307">
        <f>'[1]5.Bezpečnosť, právo a por.'!$U$82</f>
        <v>0</v>
      </c>
      <c r="G60" s="325">
        <f>'[1]5.Bezpečnosť, právo a por.'!$V$82</f>
        <v>0</v>
      </c>
      <c r="H60" s="488">
        <f t="shared" si="73"/>
        <v>0</v>
      </c>
      <c r="I60" s="495">
        <f>'[2]5.Bezpečnosť, právo a por.'!$N$87</f>
        <v>0</v>
      </c>
      <c r="J60" s="495">
        <f>'[2]5.Bezpečnosť, právo a por.'!$O$87</f>
        <v>0</v>
      </c>
      <c r="K60" s="450">
        <f>'[2]5.Bezpečnosť, právo a por.'!$P$87</f>
        <v>0</v>
      </c>
      <c r="L60" s="315">
        <f t="shared" si="74"/>
        <v>0</v>
      </c>
      <c r="M60" s="309">
        <f>'[2]5.Bezpečnosť, právo a por.'!$Q$87</f>
        <v>0</v>
      </c>
      <c r="N60" s="309">
        <f>'[2]5.Bezpečnosť, právo a por.'!$R$87</f>
        <v>0</v>
      </c>
      <c r="O60" s="338">
        <f>'[2]5.Bezpečnosť, právo a por.'!$S$87</f>
        <v>0</v>
      </c>
      <c r="P60" s="315">
        <f t="shared" si="75"/>
        <v>0</v>
      </c>
      <c r="Q60" s="309">
        <f>'[2]5.Bezpečnosť, právo a por.'!$T$87</f>
        <v>0</v>
      </c>
      <c r="R60" s="309">
        <f>'[2]5.Bezpečnosť, právo a por.'!$U$87</f>
        <v>0</v>
      </c>
      <c r="S60" s="310">
        <f>'[2]5.Bezpečnosť, právo a por.'!$V$87</f>
        <v>0</v>
      </c>
    </row>
    <row r="61" spans="1:19" ht="15.75" x14ac:dyDescent="0.25">
      <c r="A61" s="155"/>
      <c r="B61" s="357" t="s">
        <v>219</v>
      </c>
      <c r="C61" s="346" t="s">
        <v>220</v>
      </c>
      <c r="D61" s="308">
        <f t="shared" si="72"/>
        <v>3572.69</v>
      </c>
      <c r="E61" s="307">
        <f>'[1]5.Bezpečnosť, právo a por.'!$T$84</f>
        <v>3572.69</v>
      </c>
      <c r="F61" s="307">
        <f>'[1]5.Bezpečnosť, právo a por.'!$U$84</f>
        <v>0</v>
      </c>
      <c r="G61" s="325">
        <f>'[1]5.Bezpečnosť, právo a por.'!$V$84</f>
        <v>0</v>
      </c>
      <c r="H61" s="488">
        <f t="shared" si="73"/>
        <v>5061.84</v>
      </c>
      <c r="I61" s="495">
        <f>'[2]5.Bezpečnosť, právo a por.'!$N$89</f>
        <v>4175.16</v>
      </c>
      <c r="J61" s="495">
        <f>'[2]5.Bezpečnosť, právo a por.'!$O$89</f>
        <v>886.68</v>
      </c>
      <c r="K61" s="450">
        <f>'[2]5.Bezpečnosť, právo a por.'!$P$89</f>
        <v>0</v>
      </c>
      <c r="L61" s="315">
        <f>SUM(M61:O61)</f>
        <v>33800</v>
      </c>
      <c r="M61" s="309">
        <f>'[2]5.Bezpečnosť, právo a por.'!$Q$89</f>
        <v>28700</v>
      </c>
      <c r="N61" s="309">
        <f>'[2]5.Bezpečnosť, právo a por.'!$R$89</f>
        <v>5100</v>
      </c>
      <c r="O61" s="338">
        <f>'[2]5.Bezpečnosť, právo a por.'!$S$89</f>
        <v>0</v>
      </c>
      <c r="P61" s="315">
        <f>SUM(Q61:S61)</f>
        <v>3677.6800000000003</v>
      </c>
      <c r="Q61" s="309">
        <f>'[2]5.Bezpečnosť, právo a por.'!$T$89</f>
        <v>3677.6800000000003</v>
      </c>
      <c r="R61" s="309">
        <f>'[2]5.Bezpečnosť, právo a por.'!$U$89</f>
        <v>0</v>
      </c>
      <c r="S61" s="310">
        <f>'[2]5.Bezpečnosť, právo a por.'!$V$89</f>
        <v>0</v>
      </c>
    </row>
    <row r="62" spans="1:19" ht="15.75" x14ac:dyDescent="0.25">
      <c r="A62" s="155"/>
      <c r="B62" s="357" t="s">
        <v>221</v>
      </c>
      <c r="C62" s="346" t="s">
        <v>222</v>
      </c>
      <c r="D62" s="308">
        <f t="shared" ref="D62:G62" si="76">SUM(D63:D66)</f>
        <v>798501.99</v>
      </c>
      <c r="E62" s="307">
        <f t="shared" si="76"/>
        <v>213563.22999999998</v>
      </c>
      <c r="F62" s="307">
        <f t="shared" si="76"/>
        <v>0</v>
      </c>
      <c r="G62" s="325">
        <f t="shared" si="76"/>
        <v>584938.76</v>
      </c>
      <c r="H62" s="488">
        <f>SUM(H63:H66)</f>
        <v>419939.77999999997</v>
      </c>
      <c r="I62" s="495">
        <f t="shared" ref="I62:K62" si="77">SUM(I63:I66)</f>
        <v>167828.41</v>
      </c>
      <c r="J62" s="495">
        <f t="shared" si="77"/>
        <v>252111.37</v>
      </c>
      <c r="K62" s="450">
        <f t="shared" si="77"/>
        <v>0</v>
      </c>
      <c r="L62" s="315">
        <f>SUM(L63:L66)</f>
        <v>475747</v>
      </c>
      <c r="M62" s="309">
        <f t="shared" ref="M62:O62" si="78">SUM(M63:M66)</f>
        <v>205300</v>
      </c>
      <c r="N62" s="309">
        <f t="shared" si="78"/>
        <v>270447</v>
      </c>
      <c r="O62" s="338">
        <f t="shared" si="78"/>
        <v>0</v>
      </c>
      <c r="P62" s="315">
        <f>SUM(P63:P66)</f>
        <v>470078.45</v>
      </c>
      <c r="Q62" s="309">
        <f t="shared" ref="Q62:S62" si="79">SUM(Q63:Q66)</f>
        <v>200258.37</v>
      </c>
      <c r="R62" s="309">
        <f t="shared" si="79"/>
        <v>269820.08</v>
      </c>
      <c r="S62" s="310">
        <f t="shared" si="79"/>
        <v>0</v>
      </c>
    </row>
    <row r="63" spans="1:19" ht="15.75" x14ac:dyDescent="0.25">
      <c r="A63" s="155"/>
      <c r="B63" s="344">
        <v>1</v>
      </c>
      <c r="C63" s="346" t="s">
        <v>223</v>
      </c>
      <c r="D63" s="308">
        <f>SUM(E63:G63)</f>
        <v>587476.1</v>
      </c>
      <c r="E63" s="307">
        <f>'[1]5.Bezpečnosť, právo a por.'!$T$99</f>
        <v>2537.34</v>
      </c>
      <c r="F63" s="307">
        <f>'[1]5.Bezpečnosť, právo a por.'!$U$99</f>
        <v>0</v>
      </c>
      <c r="G63" s="325">
        <f>'[1]5.Bezpečnosť, právo a por.'!$V$99</f>
        <v>584938.76</v>
      </c>
      <c r="H63" s="488">
        <f>SUM(I63:K63)</f>
        <v>253299.37</v>
      </c>
      <c r="I63" s="495">
        <f>'[2]5.Bezpečnosť, právo a por.'!$N$105</f>
        <v>1188</v>
      </c>
      <c r="J63" s="495">
        <f>'[2]5.Bezpečnosť, právo a por.'!$O$105</f>
        <v>252111.37</v>
      </c>
      <c r="K63" s="450">
        <f>'[2]5.Bezpečnosť, právo a por.'!$P$105</f>
        <v>0</v>
      </c>
      <c r="L63" s="315">
        <f>SUM(M63:O63)</f>
        <v>275447</v>
      </c>
      <c r="M63" s="309">
        <f>'[2]5.Bezpečnosť, právo a por.'!$Q$105</f>
        <v>5000</v>
      </c>
      <c r="N63" s="309">
        <f>'[2]5.Bezpečnosť, právo a por.'!$R$105</f>
        <v>270447</v>
      </c>
      <c r="O63" s="338">
        <f>'[2]5.Bezpečnosť, právo a por.'!$S$105</f>
        <v>0</v>
      </c>
      <c r="P63" s="315">
        <f>SUM(Q63:S63)</f>
        <v>269820.08</v>
      </c>
      <c r="Q63" s="309">
        <f>'[2]5.Bezpečnosť, právo a por.'!$T$105</f>
        <v>0</v>
      </c>
      <c r="R63" s="309">
        <f>'[2]5.Bezpečnosť, právo a por.'!$U$105</f>
        <v>269820.08</v>
      </c>
      <c r="S63" s="310">
        <f>'[2]5.Bezpečnosť, právo a por.'!$V$105</f>
        <v>0</v>
      </c>
    </row>
    <row r="64" spans="1:19" ht="15.75" x14ac:dyDescent="0.25">
      <c r="A64" s="155"/>
      <c r="B64" s="344">
        <v>2</v>
      </c>
      <c r="C64" s="346" t="s">
        <v>224</v>
      </c>
      <c r="D64" s="308">
        <f>SUM(E64:G64)</f>
        <v>99936.01</v>
      </c>
      <c r="E64" s="307">
        <f>'[1]5.Bezpečnosť, právo a por.'!$T$106</f>
        <v>99936.01</v>
      </c>
      <c r="F64" s="307">
        <f>'[1]5.Bezpečnosť, právo a por.'!$U$106</f>
        <v>0</v>
      </c>
      <c r="G64" s="325">
        <f>'[1]5.Bezpečnosť, právo a por.'!$V$106</f>
        <v>0</v>
      </c>
      <c r="H64" s="488">
        <f t="shared" ref="H64:H66" si="80">SUM(I64:K64)</f>
        <v>56144.74</v>
      </c>
      <c r="I64" s="495">
        <f>'[2]5.Bezpečnosť, právo a por.'!$N$112</f>
        <v>56144.74</v>
      </c>
      <c r="J64" s="495">
        <f>'[2]5.Bezpečnosť, právo a por.'!$O$112</f>
        <v>0</v>
      </c>
      <c r="K64" s="450">
        <f>'[2]5.Bezpečnosť, právo a por.'!$P$112</f>
        <v>0</v>
      </c>
      <c r="L64" s="315">
        <f t="shared" ref="L64:L66" si="81">SUM(M64:O64)</f>
        <v>111300</v>
      </c>
      <c r="M64" s="309">
        <f>'[2]5.Bezpečnosť, právo a por.'!$Q$112</f>
        <v>111300</v>
      </c>
      <c r="N64" s="309">
        <f>'[2]5.Bezpečnosť, právo a por.'!$R$112</f>
        <v>0</v>
      </c>
      <c r="O64" s="338">
        <f>'[2]5.Bezpečnosť, právo a por.'!$S$112</f>
        <v>0</v>
      </c>
      <c r="P64" s="315">
        <f t="shared" ref="P64:P66" si="82">SUM(Q64:S64)</f>
        <v>111280.07</v>
      </c>
      <c r="Q64" s="309">
        <f>'[2]5.Bezpečnosť, právo a por.'!$T$112</f>
        <v>111280.07</v>
      </c>
      <c r="R64" s="309">
        <f>'[2]5.Bezpečnosť, právo a por.'!$U$112</f>
        <v>0</v>
      </c>
      <c r="S64" s="310">
        <f>'[2]5.Bezpečnosť, právo a por.'!$V$112</f>
        <v>0</v>
      </c>
    </row>
    <row r="65" spans="1:19" ht="15.75" x14ac:dyDescent="0.25">
      <c r="A65" s="155"/>
      <c r="B65" s="344">
        <v>3</v>
      </c>
      <c r="C65" s="346" t="s">
        <v>225</v>
      </c>
      <c r="D65" s="308">
        <f>SUM(E65:G65)</f>
        <v>111089.88</v>
      </c>
      <c r="E65" s="307">
        <f>'[1]5.Bezpečnosť, právo a por.'!$T$109</f>
        <v>111089.88</v>
      </c>
      <c r="F65" s="307">
        <f>'[1]5.Bezpečnosť, právo a por.'!$U$109</f>
        <v>0</v>
      </c>
      <c r="G65" s="325">
        <f>'[1]5.Bezpečnosť, právo a por.'!$V$109</f>
        <v>0</v>
      </c>
      <c r="H65" s="488">
        <f t="shared" si="80"/>
        <v>110495.67</v>
      </c>
      <c r="I65" s="495">
        <f>'[2]5.Bezpečnosť, právo a por.'!$N$115</f>
        <v>110495.67</v>
      </c>
      <c r="J65" s="495">
        <f>'[2]5.Bezpečnosť, právo a por.'!$O$115</f>
        <v>0</v>
      </c>
      <c r="K65" s="450">
        <f>'[2]5.Bezpečnosť, právo a por.'!$P$115</f>
        <v>0</v>
      </c>
      <c r="L65" s="315">
        <f t="shared" si="81"/>
        <v>89000</v>
      </c>
      <c r="M65" s="309">
        <f>'[2]5.Bezpečnosť, právo a por.'!$Q$115</f>
        <v>89000</v>
      </c>
      <c r="N65" s="309">
        <f>'[2]5.Bezpečnosť, právo a por.'!$R$115</f>
        <v>0</v>
      </c>
      <c r="O65" s="338">
        <f>'[2]5.Bezpečnosť, právo a por.'!$S$115</f>
        <v>0</v>
      </c>
      <c r="P65" s="315">
        <f t="shared" si="82"/>
        <v>88978.3</v>
      </c>
      <c r="Q65" s="309">
        <f>'[2]5.Bezpečnosť, právo a por.'!$T$115</f>
        <v>88978.3</v>
      </c>
      <c r="R65" s="309">
        <f>'[2]5.Bezpečnosť, právo a por.'!$U$115</f>
        <v>0</v>
      </c>
      <c r="S65" s="310">
        <f>'[2]5.Bezpečnosť, právo a por.'!$V$115</f>
        <v>0</v>
      </c>
    </row>
    <row r="66" spans="1:19" ht="15.75" x14ac:dyDescent="0.25">
      <c r="A66" s="155"/>
      <c r="B66" s="344">
        <v>4</v>
      </c>
      <c r="C66" s="346" t="s">
        <v>226</v>
      </c>
      <c r="D66" s="308">
        <f>SUM(E66:G66)</f>
        <v>0</v>
      </c>
      <c r="E66" s="307">
        <f>'[1]5.Bezpečnosť, právo a por.'!$T$112</f>
        <v>0</v>
      </c>
      <c r="F66" s="307">
        <f>'[1]5.Bezpečnosť, právo a por.'!$U$112</f>
        <v>0</v>
      </c>
      <c r="G66" s="325">
        <f>'[1]5.Bezpečnosť, právo a por.'!$V$112</f>
        <v>0</v>
      </c>
      <c r="H66" s="488">
        <f t="shared" si="80"/>
        <v>0</v>
      </c>
      <c r="I66" s="495">
        <f>'[2]5.Bezpečnosť, právo a por.'!$N$118</f>
        <v>0</v>
      </c>
      <c r="J66" s="495">
        <f>'[2]5.Bezpečnosť, právo a por.'!$O$118</f>
        <v>0</v>
      </c>
      <c r="K66" s="450">
        <f>'[2]5.Bezpečnosť, právo a por.'!$P$118</f>
        <v>0</v>
      </c>
      <c r="L66" s="315">
        <f t="shared" si="81"/>
        <v>0</v>
      </c>
      <c r="M66" s="309">
        <f>'[2]5.Bezpečnosť, právo a por.'!$Q$118</f>
        <v>0</v>
      </c>
      <c r="N66" s="309">
        <f>'[2]5.Bezpečnosť, právo a por.'!$R$118</f>
        <v>0</v>
      </c>
      <c r="O66" s="338">
        <f>'[2]5.Bezpečnosť, právo a por.'!$S$118</f>
        <v>0</v>
      </c>
      <c r="P66" s="315">
        <f t="shared" si="82"/>
        <v>0</v>
      </c>
      <c r="Q66" s="309">
        <f>'[2]5.Bezpečnosť, právo a por.'!$T$118</f>
        <v>0</v>
      </c>
      <c r="R66" s="309">
        <f>'[2]5.Bezpečnosť, právo a por.'!$U$118</f>
        <v>0</v>
      </c>
      <c r="S66" s="310">
        <f>'[2]5.Bezpečnosť, právo a por.'!$V$118</f>
        <v>0</v>
      </c>
    </row>
    <row r="67" spans="1:19" ht="15.75" x14ac:dyDescent="0.25">
      <c r="A67" s="159"/>
      <c r="B67" s="357" t="s">
        <v>227</v>
      </c>
      <c r="C67" s="358" t="s">
        <v>228</v>
      </c>
      <c r="D67" s="308">
        <f t="shared" ref="D67:G67" si="83">SUM(D68:D69)</f>
        <v>6600</v>
      </c>
      <c r="E67" s="307">
        <f t="shared" si="83"/>
        <v>6600</v>
      </c>
      <c r="F67" s="307">
        <f t="shared" si="83"/>
        <v>0</v>
      </c>
      <c r="G67" s="325">
        <f t="shared" si="83"/>
        <v>0</v>
      </c>
      <c r="H67" s="488">
        <f>SUM(H68:H69)</f>
        <v>7000</v>
      </c>
      <c r="I67" s="495">
        <f t="shared" ref="I67:K67" si="84">SUM(I68:I69)</f>
        <v>7000</v>
      </c>
      <c r="J67" s="495">
        <f t="shared" si="84"/>
        <v>0</v>
      </c>
      <c r="K67" s="450">
        <f t="shared" si="84"/>
        <v>0</v>
      </c>
      <c r="L67" s="315">
        <f>SUM(L68:L69)</f>
        <v>7000</v>
      </c>
      <c r="M67" s="309">
        <f t="shared" ref="M67:O67" si="85">SUM(M68:M69)</f>
        <v>7000</v>
      </c>
      <c r="N67" s="309">
        <f t="shared" si="85"/>
        <v>0</v>
      </c>
      <c r="O67" s="338">
        <f t="shared" si="85"/>
        <v>0</v>
      </c>
      <c r="P67" s="315">
        <f>SUM(P68:P69)</f>
        <v>7000</v>
      </c>
      <c r="Q67" s="309">
        <f t="shared" ref="Q67:S67" si="86">SUM(Q68:Q69)</f>
        <v>7000</v>
      </c>
      <c r="R67" s="309">
        <f t="shared" si="86"/>
        <v>0</v>
      </c>
      <c r="S67" s="310">
        <f t="shared" si="86"/>
        <v>0</v>
      </c>
    </row>
    <row r="68" spans="1:19" ht="15.75" x14ac:dyDescent="0.25">
      <c r="A68" s="159"/>
      <c r="B68" s="344">
        <v>1</v>
      </c>
      <c r="C68" s="346" t="s">
        <v>229</v>
      </c>
      <c r="D68" s="308">
        <f>SUM(E68:G68)</f>
        <v>0</v>
      </c>
      <c r="E68" s="307">
        <f>'[1]5.Bezpečnosť, právo a por.'!$T$116</f>
        <v>0</v>
      </c>
      <c r="F68" s="307">
        <f>'[1]5.Bezpečnosť, právo a por.'!$U$116</f>
        <v>0</v>
      </c>
      <c r="G68" s="325">
        <f>'[1]5.Bezpečnosť, právo a por.'!$V$116</f>
        <v>0</v>
      </c>
      <c r="H68" s="488">
        <f>SUM(I68:K68)</f>
        <v>0</v>
      </c>
      <c r="I68" s="495">
        <f>'[2]5.Bezpečnosť, právo a por.'!$N$122</f>
        <v>0</v>
      </c>
      <c r="J68" s="495">
        <f>'[2]5.Bezpečnosť, právo a por.'!$O$122</f>
        <v>0</v>
      </c>
      <c r="K68" s="450">
        <f>'[2]5.Bezpečnosť, právo a por.'!$P$122</f>
        <v>0</v>
      </c>
      <c r="L68" s="315">
        <f>SUM(M68:O68)</f>
        <v>0</v>
      </c>
      <c r="M68" s="309">
        <f>'[2]5.Bezpečnosť, právo a por.'!$Q$122</f>
        <v>0</v>
      </c>
      <c r="N68" s="309">
        <f>'[2]5.Bezpečnosť, právo a por.'!$R$122</f>
        <v>0</v>
      </c>
      <c r="O68" s="338">
        <f>'[2]5.Bezpečnosť, právo a por.'!$S$122</f>
        <v>0</v>
      </c>
      <c r="P68" s="315">
        <f>SUM(Q68:S68)</f>
        <v>0</v>
      </c>
      <c r="Q68" s="309">
        <f>'[2]5.Bezpečnosť, právo a por.'!$T$122</f>
        <v>0</v>
      </c>
      <c r="R68" s="309">
        <f>'[2]5.Bezpečnosť, právo a por.'!$U$122</f>
        <v>0</v>
      </c>
      <c r="S68" s="310">
        <f>'[2]5.Bezpečnosť, právo a por.'!$V$122</f>
        <v>0</v>
      </c>
    </row>
    <row r="69" spans="1:19" ht="16.5" thickBot="1" x14ac:dyDescent="0.3">
      <c r="A69" s="159"/>
      <c r="B69" s="347">
        <v>2</v>
      </c>
      <c r="C69" s="502" t="s">
        <v>443</v>
      </c>
      <c r="D69" s="313">
        <f>SUM(E69:G69)</f>
        <v>6600</v>
      </c>
      <c r="E69" s="314">
        <f>'[1]5.Bezpečnosť, právo a por.'!$T$118</f>
        <v>6600</v>
      </c>
      <c r="F69" s="314">
        <f>'[1]5.Bezpečnosť, právo a por.'!$U$118</f>
        <v>0</v>
      </c>
      <c r="G69" s="335">
        <f>'[1]5.Bezpečnosť, právo a por.'!$V$118</f>
        <v>0</v>
      </c>
      <c r="H69" s="490">
        <f>SUM(I69:K69)</f>
        <v>7000</v>
      </c>
      <c r="I69" s="497">
        <f>'[2]5.Bezpečnosť, právo a por.'!$N$124</f>
        <v>7000</v>
      </c>
      <c r="J69" s="497">
        <f>'[2]5.Bezpečnosť, právo a por.'!$O$124</f>
        <v>0</v>
      </c>
      <c r="K69" s="474">
        <f>'[2]5.Bezpečnosť, právo a por.'!$P$124</f>
        <v>0</v>
      </c>
      <c r="L69" s="336">
        <f>SUM(M69:O69)</f>
        <v>7000</v>
      </c>
      <c r="M69" s="337">
        <f>'[2]5.Bezpečnosť, právo a por.'!$Q$124</f>
        <v>7000</v>
      </c>
      <c r="N69" s="337">
        <f>'[2]5.Bezpečnosť, právo a por.'!$R$124</f>
        <v>0</v>
      </c>
      <c r="O69" s="501">
        <f>'[2]5.Bezpečnosť, právo a por.'!$S$124</f>
        <v>0</v>
      </c>
      <c r="P69" s="336">
        <f>SUM(Q69:S69)</f>
        <v>7000</v>
      </c>
      <c r="Q69" s="337">
        <f>'[2]5.Bezpečnosť, právo a por.'!$T$124</f>
        <v>7000</v>
      </c>
      <c r="R69" s="337">
        <f>'[2]5.Bezpečnosť, právo a por.'!$U$124</f>
        <v>0</v>
      </c>
      <c r="S69" s="379">
        <f>'[2]5.Bezpečnosť, právo a por.'!$V$124</f>
        <v>0</v>
      </c>
    </row>
    <row r="70" spans="1:19" s="157" customFormat="1" ht="15.75" x14ac:dyDescent="0.25">
      <c r="A70" s="159"/>
      <c r="B70" s="349" t="s">
        <v>231</v>
      </c>
      <c r="C70" s="350"/>
      <c r="D70" s="306">
        <f t="shared" ref="D70:G70" si="87">D71+D74+D77</f>
        <v>735271.7300000001</v>
      </c>
      <c r="E70" s="305">
        <f t="shared" si="87"/>
        <v>732271.7300000001</v>
      </c>
      <c r="F70" s="305">
        <f t="shared" si="87"/>
        <v>3000</v>
      </c>
      <c r="G70" s="331">
        <f t="shared" si="87"/>
        <v>0</v>
      </c>
      <c r="H70" s="332">
        <f>H71+H74+H77</f>
        <v>632166.21000000008</v>
      </c>
      <c r="I70" s="333">
        <f t="shared" ref="I70:K70" si="88">I71+I74+I77</f>
        <v>623241.57999999996</v>
      </c>
      <c r="J70" s="333">
        <f t="shared" si="88"/>
        <v>8924.6299999999992</v>
      </c>
      <c r="K70" s="334">
        <f t="shared" si="88"/>
        <v>0</v>
      </c>
      <c r="L70" s="332">
        <f>L71+L74+L77</f>
        <v>993330</v>
      </c>
      <c r="M70" s="333">
        <f t="shared" ref="M70:O70" si="89">M71+M74+M77</f>
        <v>675200</v>
      </c>
      <c r="N70" s="333">
        <f t="shared" si="89"/>
        <v>318130</v>
      </c>
      <c r="O70" s="434">
        <f t="shared" si="89"/>
        <v>0</v>
      </c>
      <c r="P70" s="332">
        <f>P71+P74+P77</f>
        <v>988440.91</v>
      </c>
      <c r="Q70" s="333">
        <f t="shared" ref="Q70:S70" si="90">Q71+Q74+Q77</f>
        <v>670373.70000000007</v>
      </c>
      <c r="R70" s="333">
        <f t="shared" si="90"/>
        <v>318067.21000000002</v>
      </c>
      <c r="S70" s="334">
        <f t="shared" si="90"/>
        <v>0</v>
      </c>
    </row>
    <row r="71" spans="1:19" ht="15.75" x14ac:dyDescent="0.25">
      <c r="A71" s="158"/>
      <c r="B71" s="357" t="s">
        <v>232</v>
      </c>
      <c r="C71" s="358" t="s">
        <v>233</v>
      </c>
      <c r="D71" s="308">
        <f t="shared" ref="D71:G71" si="91">SUM(D72:D73)</f>
        <v>520980.27</v>
      </c>
      <c r="E71" s="307">
        <f t="shared" si="91"/>
        <v>517980.27</v>
      </c>
      <c r="F71" s="307">
        <f t="shared" si="91"/>
        <v>3000</v>
      </c>
      <c r="G71" s="325">
        <f t="shared" si="91"/>
        <v>0</v>
      </c>
      <c r="H71" s="315">
        <f>SUM(H72:H73)</f>
        <v>527154.70000000007</v>
      </c>
      <c r="I71" s="309">
        <f t="shared" ref="I71:K71" si="92">SUM(I72:I73)</f>
        <v>518230.07</v>
      </c>
      <c r="J71" s="309">
        <f t="shared" si="92"/>
        <v>8924.6299999999992</v>
      </c>
      <c r="K71" s="310">
        <f t="shared" si="92"/>
        <v>0</v>
      </c>
      <c r="L71" s="315">
        <f>SUM(L72:L73)</f>
        <v>883130</v>
      </c>
      <c r="M71" s="309">
        <f t="shared" ref="M71:O71" si="93">SUM(M72:M73)</f>
        <v>565000</v>
      </c>
      <c r="N71" s="309">
        <f t="shared" si="93"/>
        <v>318130</v>
      </c>
      <c r="O71" s="338">
        <f t="shared" si="93"/>
        <v>0</v>
      </c>
      <c r="P71" s="315">
        <f>SUM(P72:P73)</f>
        <v>880279.85</v>
      </c>
      <c r="Q71" s="309">
        <f t="shared" ref="Q71:S71" si="94">SUM(Q72:Q73)</f>
        <v>562212.64</v>
      </c>
      <c r="R71" s="309">
        <f t="shared" si="94"/>
        <v>318067.21000000002</v>
      </c>
      <c r="S71" s="310">
        <f t="shared" si="94"/>
        <v>0</v>
      </c>
    </row>
    <row r="72" spans="1:19" ht="15.75" x14ac:dyDescent="0.25">
      <c r="A72" s="155"/>
      <c r="B72" s="344">
        <v>1</v>
      </c>
      <c r="C72" s="358" t="s">
        <v>234</v>
      </c>
      <c r="D72" s="308">
        <f>SUM(E72:G72)</f>
        <v>1532.03</v>
      </c>
      <c r="E72" s="307">
        <f>'[1]6.Odpadové hospodárstvo'!$T$5</f>
        <v>1532.03</v>
      </c>
      <c r="F72" s="307">
        <f>'[1]6.Odpadové hospodárstvo'!$U$5</f>
        <v>0</v>
      </c>
      <c r="G72" s="325">
        <f>'[1]6.Odpadové hospodárstvo'!$V$5</f>
        <v>0</v>
      </c>
      <c r="H72" s="315">
        <f>SUM(I72:K72)</f>
        <v>2959.68</v>
      </c>
      <c r="I72" s="309">
        <f>'[2]6.Odpadové hospodárstvo'!$N$5</f>
        <v>2959.68</v>
      </c>
      <c r="J72" s="309">
        <f>'[2]6.Odpadové hospodárstvo'!$O$5</f>
        <v>0</v>
      </c>
      <c r="K72" s="310">
        <f>'[2]6.Odpadové hospodárstvo'!$P$5</f>
        <v>0</v>
      </c>
      <c r="L72" s="315">
        <f>SUM(M72:O72)</f>
        <v>316230</v>
      </c>
      <c r="M72" s="309">
        <f>'[2]6.Odpadové hospodárstvo'!$Q$5</f>
        <v>6100</v>
      </c>
      <c r="N72" s="309">
        <f>'[2]6.Odpadové hospodárstvo'!$R$5</f>
        <v>310130</v>
      </c>
      <c r="O72" s="338">
        <f>'[2]6.Odpadové hospodárstvo'!$S$5</f>
        <v>0</v>
      </c>
      <c r="P72" s="315">
        <f>SUM(Q72:S72)</f>
        <v>314177.73</v>
      </c>
      <c r="Q72" s="309">
        <f>'[2]6.Odpadové hospodárstvo'!$T$5</f>
        <v>4049.6</v>
      </c>
      <c r="R72" s="309">
        <f>'[2]6.Odpadové hospodárstvo'!$U$5</f>
        <v>310128.13</v>
      </c>
      <c r="S72" s="310">
        <f>'[2]6.Odpadové hospodárstvo'!$V$5</f>
        <v>0</v>
      </c>
    </row>
    <row r="73" spans="1:19" ht="15.75" x14ac:dyDescent="0.25">
      <c r="A73" s="155"/>
      <c r="B73" s="344">
        <v>2</v>
      </c>
      <c r="C73" s="346" t="s">
        <v>235</v>
      </c>
      <c r="D73" s="308">
        <f>SUM(E73:G73)</f>
        <v>519448.24</v>
      </c>
      <c r="E73" s="307">
        <f>'[1]6.Odpadové hospodárstvo'!$T$10</f>
        <v>516448.24</v>
      </c>
      <c r="F73" s="307">
        <f>'[1]6.Odpadové hospodárstvo'!$U$10</f>
        <v>3000</v>
      </c>
      <c r="G73" s="325">
        <f>'[1]6.Odpadové hospodárstvo'!$V$10</f>
        <v>0</v>
      </c>
      <c r="H73" s="315">
        <f>SUM(I73:K73)</f>
        <v>524195.02</v>
      </c>
      <c r="I73" s="309">
        <f>'[2]6.Odpadové hospodárstvo'!$N$10</f>
        <v>515270.39</v>
      </c>
      <c r="J73" s="309">
        <f>'[2]6.Odpadové hospodárstvo'!$O$10</f>
        <v>8924.6299999999992</v>
      </c>
      <c r="K73" s="310">
        <f>'[2]6.Odpadové hospodárstvo'!$P$10</f>
        <v>0</v>
      </c>
      <c r="L73" s="315">
        <f>SUM(M73:O73)</f>
        <v>566900</v>
      </c>
      <c r="M73" s="309">
        <f>'[2]6.Odpadové hospodárstvo'!$Q$10</f>
        <v>558900</v>
      </c>
      <c r="N73" s="309">
        <f>'[2]6.Odpadové hospodárstvo'!$R$10</f>
        <v>8000</v>
      </c>
      <c r="O73" s="338">
        <f>'[2]6.Odpadové hospodárstvo'!$S$10</f>
        <v>0</v>
      </c>
      <c r="P73" s="315">
        <f>SUM(Q73:S73)</f>
        <v>566102.12</v>
      </c>
      <c r="Q73" s="309">
        <f>'[2]6.Odpadové hospodárstvo'!$T$10</f>
        <v>558163.04</v>
      </c>
      <c r="R73" s="309">
        <f>'[2]6.Odpadové hospodárstvo'!$U$10</f>
        <v>7939.08</v>
      </c>
      <c r="S73" s="310">
        <f>'[2]6.Odpadové hospodárstvo'!$V$10</f>
        <v>0</v>
      </c>
    </row>
    <row r="74" spans="1:19" ht="15.75" x14ac:dyDescent="0.25">
      <c r="A74" s="155"/>
      <c r="B74" s="357" t="s">
        <v>236</v>
      </c>
      <c r="C74" s="346" t="s">
        <v>237</v>
      </c>
      <c r="D74" s="308">
        <f t="shared" ref="D74:G74" si="95">SUM(D75:D76)</f>
        <v>105220.78</v>
      </c>
      <c r="E74" s="307">
        <f t="shared" si="95"/>
        <v>105220.78</v>
      </c>
      <c r="F74" s="307">
        <f t="shared" si="95"/>
        <v>0</v>
      </c>
      <c r="G74" s="325">
        <f t="shared" si="95"/>
        <v>0</v>
      </c>
      <c r="H74" s="315">
        <f>SUM(H75:H76)</f>
        <v>0</v>
      </c>
      <c r="I74" s="309">
        <f t="shared" ref="I74:K74" si="96">SUM(I75:I76)</f>
        <v>0</v>
      </c>
      <c r="J74" s="309">
        <f t="shared" si="96"/>
        <v>0</v>
      </c>
      <c r="K74" s="310">
        <f t="shared" si="96"/>
        <v>0</v>
      </c>
      <c r="L74" s="315">
        <f>SUM(L75:L76)</f>
        <v>0</v>
      </c>
      <c r="M74" s="309">
        <f t="shared" ref="M74:O74" si="97">SUM(M75:M76)</f>
        <v>0</v>
      </c>
      <c r="N74" s="309">
        <f t="shared" si="97"/>
        <v>0</v>
      </c>
      <c r="O74" s="338">
        <f t="shared" si="97"/>
        <v>0</v>
      </c>
      <c r="P74" s="315">
        <f>SUM(P75:P76)</f>
        <v>0</v>
      </c>
      <c r="Q74" s="309">
        <f t="shared" ref="Q74:S74" si="98">SUM(Q75:Q76)</f>
        <v>0</v>
      </c>
      <c r="R74" s="309">
        <f t="shared" si="98"/>
        <v>0</v>
      </c>
      <c r="S74" s="310">
        <f t="shared" si="98"/>
        <v>0</v>
      </c>
    </row>
    <row r="75" spans="1:19" ht="15.75" x14ac:dyDescent="0.25">
      <c r="A75" s="155"/>
      <c r="B75" s="344">
        <v>1</v>
      </c>
      <c r="C75" s="346" t="s">
        <v>238</v>
      </c>
      <c r="D75" s="308">
        <f>SUM(E75:G75)</f>
        <v>89620.93</v>
      </c>
      <c r="E75" s="307">
        <f>'[1]6.Odpadové hospodárstvo'!$T$21</f>
        <v>89620.93</v>
      </c>
      <c r="F75" s="307">
        <f>'[1]6.Odpadové hospodárstvo'!$U$21</f>
        <v>0</v>
      </c>
      <c r="G75" s="325">
        <f>'[1]6.Odpadové hospodárstvo'!$V$21</f>
        <v>0</v>
      </c>
      <c r="H75" s="315">
        <f>SUM(I75:K75)</f>
        <v>0</v>
      </c>
      <c r="I75" s="309">
        <f>'[2]6.Odpadové hospodárstvo'!$N$25</f>
        <v>0</v>
      </c>
      <c r="J75" s="309">
        <f>'[2]6.Odpadové hospodárstvo'!$O$25</f>
        <v>0</v>
      </c>
      <c r="K75" s="310">
        <f>'[2]6.Odpadové hospodárstvo'!$P$25</f>
        <v>0</v>
      </c>
      <c r="L75" s="315">
        <f>SUM(M75:O75)</f>
        <v>0</v>
      </c>
      <c r="M75" s="309">
        <f>'[2]6.Odpadové hospodárstvo'!$Q$25</f>
        <v>0</v>
      </c>
      <c r="N75" s="309">
        <f>'[2]6.Odpadové hospodárstvo'!$R$25</f>
        <v>0</v>
      </c>
      <c r="O75" s="338">
        <f>'[2]6.Odpadové hospodárstvo'!$S$25</f>
        <v>0</v>
      </c>
      <c r="P75" s="315">
        <f>SUM(Q75:S75)</f>
        <v>0</v>
      </c>
      <c r="Q75" s="309">
        <f>'[2]6.Odpadové hospodárstvo'!$T$25</f>
        <v>0</v>
      </c>
      <c r="R75" s="309">
        <f>'[2]6.Odpadové hospodárstvo'!$U$25</f>
        <v>0</v>
      </c>
      <c r="S75" s="310">
        <f>'[2]6.Odpadové hospodárstvo'!$V$25</f>
        <v>0</v>
      </c>
    </row>
    <row r="76" spans="1:19" ht="15.75" x14ac:dyDescent="0.25">
      <c r="A76" s="155"/>
      <c r="B76" s="344">
        <v>2</v>
      </c>
      <c r="C76" s="358" t="s">
        <v>239</v>
      </c>
      <c r="D76" s="308">
        <f>SUM(E76:G76)</f>
        <v>15599.85</v>
      </c>
      <c r="E76" s="307">
        <f>'[1]6.Odpadové hospodárstvo'!$T$24</f>
        <v>15599.85</v>
      </c>
      <c r="F76" s="307">
        <f>'[1]6.Odpadové hospodárstvo'!$U$24</f>
        <v>0</v>
      </c>
      <c r="G76" s="325">
        <f>'[1]6.Odpadové hospodárstvo'!$V$24</f>
        <v>0</v>
      </c>
      <c r="H76" s="315">
        <f t="shared" ref="H76:H77" si="99">SUM(I76:K76)</f>
        <v>0</v>
      </c>
      <c r="I76" s="309">
        <f>'[2]6.Odpadové hospodárstvo'!$N$28</f>
        <v>0</v>
      </c>
      <c r="J76" s="309">
        <f>'[2]6.Odpadové hospodárstvo'!$O$28</f>
        <v>0</v>
      </c>
      <c r="K76" s="310">
        <f>'[2]6.Odpadové hospodárstvo'!$P$28</f>
        <v>0</v>
      </c>
      <c r="L76" s="315">
        <f t="shared" ref="L76:L77" si="100">SUM(M76:O76)</f>
        <v>0</v>
      </c>
      <c r="M76" s="309">
        <f>'[2]6.Odpadové hospodárstvo'!$Q$28</f>
        <v>0</v>
      </c>
      <c r="N76" s="309">
        <f>'[2]6.Odpadové hospodárstvo'!$R$28</f>
        <v>0</v>
      </c>
      <c r="O76" s="338">
        <f>'[2]6.Odpadové hospodárstvo'!$S$28</f>
        <v>0</v>
      </c>
      <c r="P76" s="315">
        <f t="shared" ref="P76:P77" si="101">SUM(Q76:S76)</f>
        <v>0</v>
      </c>
      <c r="Q76" s="309">
        <f>'[2]6.Odpadové hospodárstvo'!$T$28</f>
        <v>0</v>
      </c>
      <c r="R76" s="309">
        <f>'[2]6.Odpadové hospodárstvo'!$U$28</f>
        <v>0</v>
      </c>
      <c r="S76" s="310">
        <f>'[2]6.Odpadové hospodárstvo'!$V$28</f>
        <v>0</v>
      </c>
    </row>
    <row r="77" spans="1:19" ht="16.5" thickBot="1" x14ac:dyDescent="0.3">
      <c r="A77" s="155"/>
      <c r="B77" s="359" t="s">
        <v>240</v>
      </c>
      <c r="C77" s="360" t="s">
        <v>241</v>
      </c>
      <c r="D77" s="313">
        <f>SUM(E77:G77)</f>
        <v>109070.68000000001</v>
      </c>
      <c r="E77" s="314">
        <f>'[1]6.Odpadové hospodárstvo'!$T$26</f>
        <v>109070.68000000001</v>
      </c>
      <c r="F77" s="314">
        <f>'[1]6.Odpadové hospodárstvo'!$U$26</f>
        <v>0</v>
      </c>
      <c r="G77" s="335">
        <f>'[1]6.Odpadové hospodárstvo'!$V$26</f>
        <v>0</v>
      </c>
      <c r="H77" s="328">
        <f t="shared" si="99"/>
        <v>105011.51</v>
      </c>
      <c r="I77" s="329">
        <f>'[2]6.Odpadové hospodárstvo'!$N$30</f>
        <v>105011.51</v>
      </c>
      <c r="J77" s="329">
        <f>'[2]6.Odpadové hospodárstvo'!$O$30</f>
        <v>0</v>
      </c>
      <c r="K77" s="330">
        <f>'[2]6.Odpadové hospodárstvo'!$P$30</f>
        <v>0</v>
      </c>
      <c r="L77" s="336">
        <f t="shared" si="100"/>
        <v>110200</v>
      </c>
      <c r="M77" s="337">
        <f>'[2]6.Odpadové hospodárstvo'!$Q$30</f>
        <v>110200</v>
      </c>
      <c r="N77" s="337">
        <f>'[2]6.Odpadové hospodárstvo'!$R$30</f>
        <v>0</v>
      </c>
      <c r="O77" s="501">
        <f>'[2]6.Odpadové hospodárstvo'!$S$30</f>
        <v>0</v>
      </c>
      <c r="P77" s="336">
        <f t="shared" si="101"/>
        <v>108161.06000000001</v>
      </c>
      <c r="Q77" s="337">
        <f>'[2]6.Odpadové hospodárstvo'!$T$30</f>
        <v>108161.06000000001</v>
      </c>
      <c r="R77" s="337">
        <f>'[2]6.Odpadové hospodárstvo'!$U$30</f>
        <v>0</v>
      </c>
      <c r="S77" s="379">
        <f>'[2]6.Odpadové hospodárstvo'!$V$30</f>
        <v>0</v>
      </c>
    </row>
    <row r="78" spans="1:19" s="157" customFormat="1" ht="15.75" x14ac:dyDescent="0.25">
      <c r="B78" s="349" t="s">
        <v>242</v>
      </c>
      <c r="C78" s="350"/>
      <c r="D78" s="306">
        <f t="shared" ref="D78:G78" si="102">D79+D87+D90</f>
        <v>816457.14</v>
      </c>
      <c r="E78" s="305">
        <f t="shared" si="102"/>
        <v>546503.90999999992</v>
      </c>
      <c r="F78" s="305">
        <f t="shared" si="102"/>
        <v>269953.23</v>
      </c>
      <c r="G78" s="331">
        <f t="shared" si="102"/>
        <v>0</v>
      </c>
      <c r="H78" s="487">
        <f>H79+H87+H90</f>
        <v>607637.41999999993</v>
      </c>
      <c r="I78" s="494">
        <f t="shared" ref="I78:K78" si="103">I79+I87+I90</f>
        <v>415770.03</v>
      </c>
      <c r="J78" s="494">
        <f t="shared" si="103"/>
        <v>191867.39</v>
      </c>
      <c r="K78" s="472">
        <f t="shared" si="103"/>
        <v>0</v>
      </c>
      <c r="L78" s="332">
        <f>L79+L87+L90</f>
        <v>1721459</v>
      </c>
      <c r="M78" s="333">
        <f t="shared" ref="M78:O78" si="104">M79+M87+M90</f>
        <v>522220</v>
      </c>
      <c r="N78" s="333">
        <f t="shared" si="104"/>
        <v>1199239</v>
      </c>
      <c r="O78" s="434">
        <f t="shared" si="104"/>
        <v>0</v>
      </c>
      <c r="P78" s="332">
        <f>P79+P87+P90</f>
        <v>1681131.11</v>
      </c>
      <c r="Q78" s="333">
        <f t="shared" ref="Q78:S78" si="105">Q79+Q87+Q90</f>
        <v>519455.05999999994</v>
      </c>
      <c r="R78" s="333">
        <f t="shared" si="105"/>
        <v>1161676.05</v>
      </c>
      <c r="S78" s="334">
        <f t="shared" si="105"/>
        <v>0</v>
      </c>
    </row>
    <row r="79" spans="1:19" ht="15.75" x14ac:dyDescent="0.25">
      <c r="A79" s="155"/>
      <c r="B79" s="357" t="s">
        <v>243</v>
      </c>
      <c r="C79" s="346" t="s">
        <v>244</v>
      </c>
      <c r="D79" s="308">
        <f t="shared" ref="D79:G79" si="106">SUM(D80:D86)</f>
        <v>723467.14</v>
      </c>
      <c r="E79" s="307">
        <f t="shared" si="106"/>
        <v>496413.90999999992</v>
      </c>
      <c r="F79" s="307">
        <f t="shared" si="106"/>
        <v>227053.23</v>
      </c>
      <c r="G79" s="325">
        <f t="shared" si="106"/>
        <v>0</v>
      </c>
      <c r="H79" s="488">
        <f>SUM(H80:H86)</f>
        <v>536624.07999999996</v>
      </c>
      <c r="I79" s="495">
        <f t="shared" ref="I79:K79" si="107">SUM(I80:I86)</f>
        <v>376654.55000000005</v>
      </c>
      <c r="J79" s="495">
        <f t="shared" si="107"/>
        <v>159969.53</v>
      </c>
      <c r="K79" s="450">
        <f t="shared" si="107"/>
        <v>0</v>
      </c>
      <c r="L79" s="315">
        <f>SUM(L80:L86)</f>
        <v>784220</v>
      </c>
      <c r="M79" s="309">
        <f t="shared" ref="M79:O79" si="108">SUM(M80:M86)</f>
        <v>481220</v>
      </c>
      <c r="N79" s="309">
        <f t="shared" si="108"/>
        <v>303000</v>
      </c>
      <c r="O79" s="338">
        <f t="shared" si="108"/>
        <v>0</v>
      </c>
      <c r="P79" s="315">
        <f>SUM(P80:P86)</f>
        <v>746359.09000000008</v>
      </c>
      <c r="Q79" s="309">
        <f t="shared" ref="Q79:S79" si="109">SUM(Q80:Q86)</f>
        <v>478970.79999999993</v>
      </c>
      <c r="R79" s="309">
        <f t="shared" si="109"/>
        <v>267388.28999999998</v>
      </c>
      <c r="S79" s="310">
        <f t="shared" si="109"/>
        <v>0</v>
      </c>
    </row>
    <row r="80" spans="1:19" ht="15.75" x14ac:dyDescent="0.25">
      <c r="A80" s="155"/>
      <c r="B80" s="344">
        <v>1</v>
      </c>
      <c r="C80" s="346" t="s">
        <v>245</v>
      </c>
      <c r="D80" s="308">
        <f t="shared" ref="D80:D86" si="110">SUM(E80:G80)</f>
        <v>0</v>
      </c>
      <c r="E80" s="307">
        <f>'[1]7.Komunikácie'!$T$5</f>
        <v>0</v>
      </c>
      <c r="F80" s="307">
        <f>'[1]7.Komunikácie'!$U$5</f>
        <v>0</v>
      </c>
      <c r="G80" s="325">
        <f>'[1]7.Komunikácie'!$V$5</f>
        <v>0</v>
      </c>
      <c r="H80" s="488">
        <f>SUM(I80:K80)</f>
        <v>0</v>
      </c>
      <c r="I80" s="495">
        <f>'[2]7.Komunikácie'!$N$5</f>
        <v>0</v>
      </c>
      <c r="J80" s="495">
        <f>'[2]7.Komunikácie'!$O$5</f>
        <v>0</v>
      </c>
      <c r="K80" s="450">
        <f>'[2]7.Komunikácie'!$P$5</f>
        <v>0</v>
      </c>
      <c r="L80" s="315">
        <f>SUM(M80:O80)</f>
        <v>0</v>
      </c>
      <c r="M80" s="309">
        <f>'[2]7.Komunikácie'!$Q$5</f>
        <v>0</v>
      </c>
      <c r="N80" s="309">
        <f>'[2]7.Komunikácie'!$R$5</f>
        <v>0</v>
      </c>
      <c r="O80" s="338">
        <f>'[2]7.Komunikácie'!$S$5</f>
        <v>0</v>
      </c>
      <c r="P80" s="315">
        <f>SUM(Q80:S80)</f>
        <v>0</v>
      </c>
      <c r="Q80" s="309">
        <f>'[2]7.Komunikácie'!$T$5</f>
        <v>0</v>
      </c>
      <c r="R80" s="309">
        <f>'[2]7.Komunikácie'!$U$5</f>
        <v>0</v>
      </c>
      <c r="S80" s="310">
        <f>'[2]7.Komunikácie'!$V$5</f>
        <v>0</v>
      </c>
    </row>
    <row r="81" spans="1:19" ht="15.75" x14ac:dyDescent="0.25">
      <c r="A81" s="155"/>
      <c r="B81" s="344">
        <v>2</v>
      </c>
      <c r="C81" s="346" t="s">
        <v>246</v>
      </c>
      <c r="D81" s="308">
        <f t="shared" si="110"/>
        <v>227053.23</v>
      </c>
      <c r="E81" s="307">
        <f>'[1]7.Komunikácie'!$T$7</f>
        <v>0</v>
      </c>
      <c r="F81" s="307">
        <f>'[1]7.Komunikácie'!$U$7</f>
        <v>227053.23</v>
      </c>
      <c r="G81" s="325">
        <f>'[1]7.Komunikácie'!$V$7</f>
        <v>0</v>
      </c>
      <c r="H81" s="488">
        <f t="shared" ref="H81:H86" si="111">SUM(I81:K81)</f>
        <v>159969.53</v>
      </c>
      <c r="I81" s="495">
        <f>'[2]7.Komunikácie'!$N$7</f>
        <v>0</v>
      </c>
      <c r="J81" s="495">
        <f>'[2]7.Komunikácie'!$O$7</f>
        <v>159969.53</v>
      </c>
      <c r="K81" s="450">
        <f>'[2]7.Komunikácie'!$P$7</f>
        <v>0</v>
      </c>
      <c r="L81" s="315">
        <f t="shared" ref="L81:L86" si="112">SUM(M81:O81)</f>
        <v>303000</v>
      </c>
      <c r="M81" s="309">
        <f>'[2]7.Komunikácie'!$Q$7</f>
        <v>0</v>
      </c>
      <c r="N81" s="309">
        <f>'[2]7.Komunikácie'!$R$7</f>
        <v>303000</v>
      </c>
      <c r="O81" s="338">
        <f>'[2]7.Komunikácie'!$S$7</f>
        <v>0</v>
      </c>
      <c r="P81" s="315">
        <f t="shared" ref="P81:P86" si="113">SUM(Q81:S81)</f>
        <v>267388.28999999998</v>
      </c>
      <c r="Q81" s="309">
        <f>'[2]7.Komunikácie'!$T$7</f>
        <v>0</v>
      </c>
      <c r="R81" s="309">
        <f>'[2]7.Komunikácie'!$U$7</f>
        <v>267388.28999999998</v>
      </c>
      <c r="S81" s="310">
        <f>'[2]7.Komunikácie'!$V$7</f>
        <v>0</v>
      </c>
    </row>
    <row r="82" spans="1:19" ht="15.75" x14ac:dyDescent="0.25">
      <c r="A82" s="155"/>
      <c r="B82" s="344">
        <v>3</v>
      </c>
      <c r="C82" s="346" t="s">
        <v>247</v>
      </c>
      <c r="D82" s="308">
        <f t="shared" si="110"/>
        <v>78674.399999999994</v>
      </c>
      <c r="E82" s="307">
        <f>'[1]7.Komunikácie'!$T$15</f>
        <v>78674.399999999994</v>
      </c>
      <c r="F82" s="307">
        <f>'[1]7.Komunikácie'!$U$15</f>
        <v>0</v>
      </c>
      <c r="G82" s="325">
        <f>'[1]7.Komunikácie'!$V$15</f>
        <v>0</v>
      </c>
      <c r="H82" s="488">
        <f t="shared" si="111"/>
        <v>75086.039999999994</v>
      </c>
      <c r="I82" s="495">
        <f>'[2]7.Komunikácie'!$N$15</f>
        <v>75086.039999999994</v>
      </c>
      <c r="J82" s="495">
        <f>'[2]7.Komunikácie'!$O$15</f>
        <v>0</v>
      </c>
      <c r="K82" s="450">
        <f>'[2]7.Komunikácie'!$P$15</f>
        <v>0</v>
      </c>
      <c r="L82" s="315">
        <f t="shared" si="112"/>
        <v>100300</v>
      </c>
      <c r="M82" s="309">
        <f>'[2]7.Komunikácie'!$Q$15</f>
        <v>100300</v>
      </c>
      <c r="N82" s="309">
        <f>'[2]7.Komunikácie'!$R$15</f>
        <v>0</v>
      </c>
      <c r="O82" s="338">
        <f>'[2]7.Komunikácie'!$S$15</f>
        <v>0</v>
      </c>
      <c r="P82" s="315">
        <f t="shared" si="113"/>
        <v>100213.08</v>
      </c>
      <c r="Q82" s="309">
        <f>'[2]7.Komunikácie'!$T$15</f>
        <v>100213.08</v>
      </c>
      <c r="R82" s="309">
        <f>'[2]7.Komunikácie'!$U$15</f>
        <v>0</v>
      </c>
      <c r="S82" s="310">
        <f>'[2]7.Komunikácie'!$V$15</f>
        <v>0</v>
      </c>
    </row>
    <row r="83" spans="1:19" ht="15.75" x14ac:dyDescent="0.25">
      <c r="A83" s="155"/>
      <c r="B83" s="344">
        <v>4</v>
      </c>
      <c r="C83" s="346" t="s">
        <v>248</v>
      </c>
      <c r="D83" s="308">
        <f t="shared" si="110"/>
        <v>279045.67</v>
      </c>
      <c r="E83" s="307">
        <f>'[1]7.Komunikácie'!$T$17</f>
        <v>279045.67</v>
      </c>
      <c r="F83" s="307">
        <f>'[1]7.Komunikácie'!$U$17</f>
        <v>0</v>
      </c>
      <c r="G83" s="325">
        <f>'[1]7.Komunikácie'!$V$17</f>
        <v>0</v>
      </c>
      <c r="H83" s="488">
        <f t="shared" si="111"/>
        <v>199724.64</v>
      </c>
      <c r="I83" s="495">
        <f>'[2]7.Komunikácie'!$N$17</f>
        <v>199724.64</v>
      </c>
      <c r="J83" s="495">
        <f>'[2]7.Komunikácie'!$O$17</f>
        <v>0</v>
      </c>
      <c r="K83" s="450">
        <f>'[2]7.Komunikácie'!$P$17</f>
        <v>0</v>
      </c>
      <c r="L83" s="315">
        <f t="shared" si="112"/>
        <v>245100</v>
      </c>
      <c r="M83" s="309">
        <f>'[2]7.Komunikácie'!$Q$17</f>
        <v>245100</v>
      </c>
      <c r="N83" s="309">
        <f>'[2]7.Komunikácie'!$R$17</f>
        <v>0</v>
      </c>
      <c r="O83" s="338">
        <f>'[2]7.Komunikácie'!$S$17</f>
        <v>0</v>
      </c>
      <c r="P83" s="315">
        <f t="shared" si="113"/>
        <v>245074.72</v>
      </c>
      <c r="Q83" s="309">
        <f>'[2]7.Komunikácie'!$T$17</f>
        <v>245074.72</v>
      </c>
      <c r="R83" s="309">
        <f>'[2]7.Komunikácie'!$U$17</f>
        <v>0</v>
      </c>
      <c r="S83" s="310">
        <f>'[2]7.Komunikácie'!$V$17</f>
        <v>0</v>
      </c>
    </row>
    <row r="84" spans="1:19" ht="15.75" x14ac:dyDescent="0.25">
      <c r="A84" s="155"/>
      <c r="B84" s="344">
        <v>5</v>
      </c>
      <c r="C84" s="346" t="s">
        <v>249</v>
      </c>
      <c r="D84" s="308">
        <f t="shared" si="110"/>
        <v>65500.44</v>
      </c>
      <c r="E84" s="307">
        <f>'[1]7.Komunikácie'!$T$19</f>
        <v>65500.44</v>
      </c>
      <c r="F84" s="307">
        <f>'[1]7.Komunikácie'!$U$19</f>
        <v>0</v>
      </c>
      <c r="G84" s="325">
        <f>'[1]7.Komunikácie'!$V$19</f>
        <v>0</v>
      </c>
      <c r="H84" s="488">
        <f t="shared" si="111"/>
        <v>68678.720000000001</v>
      </c>
      <c r="I84" s="495">
        <f>'[2]7.Komunikácie'!$N$19</f>
        <v>68678.720000000001</v>
      </c>
      <c r="J84" s="495">
        <f>'[2]7.Komunikácie'!$O$19</f>
        <v>0</v>
      </c>
      <c r="K84" s="450">
        <f>'[2]7.Komunikácie'!$P$19</f>
        <v>0</v>
      </c>
      <c r="L84" s="315">
        <f t="shared" si="112"/>
        <v>81200</v>
      </c>
      <c r="M84" s="309">
        <f>'[2]7.Komunikácie'!$Q$19</f>
        <v>81200</v>
      </c>
      <c r="N84" s="309">
        <f>'[2]7.Komunikácie'!$R$19</f>
        <v>0</v>
      </c>
      <c r="O84" s="338">
        <f>'[2]7.Komunikácie'!$S$19</f>
        <v>0</v>
      </c>
      <c r="P84" s="315">
        <f t="shared" si="113"/>
        <v>79082.53</v>
      </c>
      <c r="Q84" s="309">
        <f>'[2]7.Komunikácie'!$T$19</f>
        <v>79082.53</v>
      </c>
      <c r="R84" s="309">
        <f>'[2]7.Komunikácie'!$U$19</f>
        <v>0</v>
      </c>
      <c r="S84" s="310">
        <f>'[2]7.Komunikácie'!$V$19</f>
        <v>0</v>
      </c>
    </row>
    <row r="85" spans="1:19" ht="15.75" x14ac:dyDescent="0.25">
      <c r="A85" s="155"/>
      <c r="B85" s="344">
        <v>5</v>
      </c>
      <c r="C85" s="346" t="s">
        <v>250</v>
      </c>
      <c r="D85" s="308">
        <f t="shared" si="110"/>
        <v>43349.55</v>
      </c>
      <c r="E85" s="307">
        <f>'[1]7.Komunikácie'!$T$25</f>
        <v>43349.55</v>
      </c>
      <c r="F85" s="307">
        <f>'[1]7.Komunikácie'!$U$25</f>
        <v>0</v>
      </c>
      <c r="G85" s="325">
        <f>'[1]7.Komunikácie'!$V$25</f>
        <v>0</v>
      </c>
      <c r="H85" s="488">
        <f t="shared" si="111"/>
        <v>30148.2</v>
      </c>
      <c r="I85" s="495">
        <f>'[2]7.Komunikácie'!$N$25</f>
        <v>30148.2</v>
      </c>
      <c r="J85" s="495">
        <f>'[2]7.Komunikácie'!$O$25</f>
        <v>0</v>
      </c>
      <c r="K85" s="450">
        <f>'[2]7.Komunikácie'!$P$25</f>
        <v>0</v>
      </c>
      <c r="L85" s="315">
        <f t="shared" si="112"/>
        <v>30000</v>
      </c>
      <c r="M85" s="309">
        <f>'[2]7.Komunikácie'!$Q$25</f>
        <v>30000</v>
      </c>
      <c r="N85" s="309">
        <f>'[2]7.Komunikácie'!$R$25</f>
        <v>0</v>
      </c>
      <c r="O85" s="338">
        <f>'[2]7.Komunikácie'!$S$25</f>
        <v>0</v>
      </c>
      <c r="P85" s="315">
        <f t="shared" si="113"/>
        <v>29989.919999999998</v>
      </c>
      <c r="Q85" s="309">
        <f>'[2]7.Komunikácie'!$T$25</f>
        <v>29989.919999999998</v>
      </c>
      <c r="R85" s="309">
        <f>'[2]7.Komunikácie'!$U$25</f>
        <v>0</v>
      </c>
      <c r="S85" s="310">
        <f>'[2]7.Komunikácie'!$V$25</f>
        <v>0</v>
      </c>
    </row>
    <row r="86" spans="1:19" ht="15.75" x14ac:dyDescent="0.25">
      <c r="A86" s="155"/>
      <c r="B86" s="344">
        <v>6</v>
      </c>
      <c r="C86" s="346" t="s">
        <v>251</v>
      </c>
      <c r="D86" s="308">
        <f t="shared" si="110"/>
        <v>29843.85</v>
      </c>
      <c r="E86" s="307">
        <f>'[1]7.Komunikácie'!$T$27</f>
        <v>29843.85</v>
      </c>
      <c r="F86" s="307">
        <f>'[1]7.Komunikácie'!$U$27</f>
        <v>0</v>
      </c>
      <c r="G86" s="325">
        <f>'[1]7.Komunikácie'!$V$27</f>
        <v>0</v>
      </c>
      <c r="H86" s="488">
        <f t="shared" si="111"/>
        <v>3016.95</v>
      </c>
      <c r="I86" s="495">
        <f>'[2]7.Komunikácie'!$N$27</f>
        <v>3016.95</v>
      </c>
      <c r="J86" s="495">
        <f>'[2]7.Komunikácie'!$O$27</f>
        <v>0</v>
      </c>
      <c r="K86" s="450">
        <f>'[2]7.Komunikácie'!$P$27</f>
        <v>0</v>
      </c>
      <c r="L86" s="315">
        <f t="shared" si="112"/>
        <v>24620</v>
      </c>
      <c r="M86" s="309">
        <f>'[2]7.Komunikácie'!$Q$27</f>
        <v>24620</v>
      </c>
      <c r="N86" s="309">
        <f>'[2]7.Komunikácie'!$R$27</f>
        <v>0</v>
      </c>
      <c r="O86" s="338">
        <f>'[2]7.Komunikácie'!$S$27</f>
        <v>0</v>
      </c>
      <c r="P86" s="315">
        <f t="shared" si="113"/>
        <v>24610.55</v>
      </c>
      <c r="Q86" s="309">
        <f>'[2]7.Komunikácie'!$T$27</f>
        <v>24610.55</v>
      </c>
      <c r="R86" s="309">
        <f>'[2]7.Komunikácie'!$U$27</f>
        <v>0</v>
      </c>
      <c r="S86" s="310">
        <f>'[2]7.Komunikácie'!$V$27</f>
        <v>0</v>
      </c>
    </row>
    <row r="87" spans="1:19" ht="15.75" x14ac:dyDescent="0.25">
      <c r="A87" s="155"/>
      <c r="B87" s="357" t="s">
        <v>252</v>
      </c>
      <c r="C87" s="346" t="s">
        <v>253</v>
      </c>
      <c r="D87" s="308">
        <f t="shared" ref="D87:G87" si="114">SUM(D88:D89)</f>
        <v>80090</v>
      </c>
      <c r="E87" s="307">
        <f t="shared" si="114"/>
        <v>50090</v>
      </c>
      <c r="F87" s="307">
        <f t="shared" si="114"/>
        <v>30000</v>
      </c>
      <c r="G87" s="325">
        <f t="shared" si="114"/>
        <v>0</v>
      </c>
      <c r="H87" s="488">
        <f>SUM(H88:H89)</f>
        <v>61013.340000000004</v>
      </c>
      <c r="I87" s="495">
        <f t="shared" ref="I87:K87" si="115">SUM(I88:I89)</f>
        <v>39115.480000000003</v>
      </c>
      <c r="J87" s="495">
        <f t="shared" si="115"/>
        <v>21897.86</v>
      </c>
      <c r="K87" s="450">
        <f t="shared" si="115"/>
        <v>0</v>
      </c>
      <c r="L87" s="315">
        <f>SUM(L88:L89)</f>
        <v>937239</v>
      </c>
      <c r="M87" s="309">
        <f t="shared" ref="M87:O87" si="116">SUM(M88:M89)</f>
        <v>41000</v>
      </c>
      <c r="N87" s="309">
        <f t="shared" si="116"/>
        <v>896239</v>
      </c>
      <c r="O87" s="338">
        <f t="shared" si="116"/>
        <v>0</v>
      </c>
      <c r="P87" s="315">
        <f>SUM(P88:P89)</f>
        <v>934772.02</v>
      </c>
      <c r="Q87" s="309">
        <f t="shared" ref="Q87:S87" si="117">SUM(Q88:Q89)</f>
        <v>40484.26</v>
      </c>
      <c r="R87" s="309">
        <f t="shared" si="117"/>
        <v>894287.76</v>
      </c>
      <c r="S87" s="310">
        <f t="shared" si="117"/>
        <v>0</v>
      </c>
    </row>
    <row r="88" spans="1:19" ht="15.75" x14ac:dyDescent="0.25">
      <c r="A88" s="155"/>
      <c r="B88" s="344">
        <v>1</v>
      </c>
      <c r="C88" s="346" t="s">
        <v>254</v>
      </c>
      <c r="D88" s="308">
        <f>SUM(E88:G88)</f>
        <v>0</v>
      </c>
      <c r="E88" s="307">
        <f>'[1]7.Komunikácie'!$T$30</f>
        <v>0</v>
      </c>
      <c r="F88" s="307">
        <f>'[1]7.Komunikácie'!$U$30</f>
        <v>0</v>
      </c>
      <c r="G88" s="325">
        <f>'[1]7.Komunikácie'!$V$30</f>
        <v>0</v>
      </c>
      <c r="H88" s="488">
        <f>SUM(I88:K88)</f>
        <v>1897.86</v>
      </c>
      <c r="I88" s="495">
        <f>'[2]7.Komunikácie'!$N$30</f>
        <v>0</v>
      </c>
      <c r="J88" s="495">
        <f>'[2]7.Komunikácie'!$O$30</f>
        <v>1897.86</v>
      </c>
      <c r="K88" s="450">
        <f>'[2]7.Komunikácie'!$P$30</f>
        <v>0</v>
      </c>
      <c r="L88" s="315">
        <f>SUM(M88:O88)</f>
        <v>867239</v>
      </c>
      <c r="M88" s="309">
        <f>'[2]7.Komunikácie'!$Q$30</f>
        <v>1000</v>
      </c>
      <c r="N88" s="309">
        <f>'[2]7.Komunikácie'!$R$30</f>
        <v>866239</v>
      </c>
      <c r="O88" s="338">
        <f>'[2]7.Komunikácie'!$S$30</f>
        <v>0</v>
      </c>
      <c r="P88" s="315">
        <f>SUM(Q88:S88)</f>
        <v>864861.84000000008</v>
      </c>
      <c r="Q88" s="309">
        <f>'[2]7.Komunikácie'!$T$30</f>
        <v>520.79999999999995</v>
      </c>
      <c r="R88" s="309">
        <f>'[2]7.Komunikácie'!$U$30</f>
        <v>864341.04</v>
      </c>
      <c r="S88" s="310">
        <f>'[2]7.Komunikácie'!$V$30</f>
        <v>0</v>
      </c>
    </row>
    <row r="89" spans="1:19" ht="15.75" x14ac:dyDescent="0.25">
      <c r="A89" s="155"/>
      <c r="B89" s="344">
        <v>2</v>
      </c>
      <c r="C89" s="346" t="s">
        <v>255</v>
      </c>
      <c r="D89" s="308">
        <f>SUM(E89:G89)</f>
        <v>80090</v>
      </c>
      <c r="E89" s="307">
        <f>'[1]7.Komunikácie'!$T$32</f>
        <v>50090</v>
      </c>
      <c r="F89" s="307">
        <f>'[1]7.Komunikácie'!$U$32</f>
        <v>30000</v>
      </c>
      <c r="G89" s="325">
        <f>'[1]7.Komunikácie'!$V$32</f>
        <v>0</v>
      </c>
      <c r="H89" s="488">
        <f>SUM(I89:K89)</f>
        <v>59115.48</v>
      </c>
      <c r="I89" s="495">
        <f>'[2]7.Komunikácie'!$N$32</f>
        <v>39115.480000000003</v>
      </c>
      <c r="J89" s="495">
        <f>'[2]7.Komunikácie'!$O$32</f>
        <v>20000</v>
      </c>
      <c r="K89" s="450">
        <f>'[2]7.Komunikácie'!$P$32</f>
        <v>0</v>
      </c>
      <c r="L89" s="315">
        <f>SUM(M89:O89)</f>
        <v>70000</v>
      </c>
      <c r="M89" s="309">
        <f>'[2]7.Komunikácie'!$Q$32</f>
        <v>40000</v>
      </c>
      <c r="N89" s="309">
        <f>'[2]7.Komunikácie'!$R$32</f>
        <v>30000</v>
      </c>
      <c r="O89" s="338">
        <f>'[2]7.Komunikácie'!$S$32</f>
        <v>0</v>
      </c>
      <c r="P89" s="315">
        <f>SUM(Q89:S89)</f>
        <v>69910.179999999993</v>
      </c>
      <c r="Q89" s="309">
        <f>'[2]7.Komunikácie'!$T$32</f>
        <v>39963.46</v>
      </c>
      <c r="R89" s="309">
        <f>'[2]7.Komunikácie'!$U$32</f>
        <v>29946.720000000001</v>
      </c>
      <c r="S89" s="310">
        <f>'[2]7.Komunikácie'!$V$32</f>
        <v>0</v>
      </c>
    </row>
    <row r="90" spans="1:19" ht="15.75" outlineLevel="1" x14ac:dyDescent="0.25">
      <c r="A90" s="155"/>
      <c r="B90" s="357" t="s">
        <v>256</v>
      </c>
      <c r="C90" s="346" t="s">
        <v>257</v>
      </c>
      <c r="D90" s="308">
        <f t="shared" ref="D90:G90" si="118">SUM(D91:D92)</f>
        <v>12900</v>
      </c>
      <c r="E90" s="307">
        <f t="shared" si="118"/>
        <v>0</v>
      </c>
      <c r="F90" s="307">
        <f t="shared" si="118"/>
        <v>12900</v>
      </c>
      <c r="G90" s="325">
        <f t="shared" si="118"/>
        <v>0</v>
      </c>
      <c r="H90" s="488">
        <f>SUM(H91:H92)</f>
        <v>10000</v>
      </c>
      <c r="I90" s="495">
        <f t="shared" ref="I90:K90" si="119">SUM(I91:I92)</f>
        <v>0</v>
      </c>
      <c r="J90" s="495">
        <f t="shared" si="119"/>
        <v>10000</v>
      </c>
      <c r="K90" s="450">
        <f t="shared" si="119"/>
        <v>0</v>
      </c>
      <c r="L90" s="315">
        <f>SUM(L91:L92)</f>
        <v>0</v>
      </c>
      <c r="M90" s="309">
        <f t="shared" ref="M90:O90" si="120">SUM(M91:M92)</f>
        <v>0</v>
      </c>
      <c r="N90" s="309">
        <f t="shared" si="120"/>
        <v>0</v>
      </c>
      <c r="O90" s="338">
        <f t="shared" si="120"/>
        <v>0</v>
      </c>
      <c r="P90" s="315">
        <f>SUM(P91:P92)</f>
        <v>0</v>
      </c>
      <c r="Q90" s="309">
        <f t="shared" ref="Q90:S90" si="121">SUM(Q91:Q92)</f>
        <v>0</v>
      </c>
      <c r="R90" s="309">
        <f t="shared" si="121"/>
        <v>0</v>
      </c>
      <c r="S90" s="310">
        <f t="shared" si="121"/>
        <v>0</v>
      </c>
    </row>
    <row r="91" spans="1:19" ht="15.75" outlineLevel="1" x14ac:dyDescent="0.25">
      <c r="A91" s="155"/>
      <c r="B91" s="344">
        <v>1</v>
      </c>
      <c r="C91" s="346" t="s">
        <v>258</v>
      </c>
      <c r="D91" s="308">
        <f>SUM(E91:G91)</f>
        <v>12900</v>
      </c>
      <c r="E91" s="307">
        <f>'[1]7.Komunikácie'!$T$35</f>
        <v>0</v>
      </c>
      <c r="F91" s="307">
        <f>'[1]7.Komunikácie'!$U$35</f>
        <v>12900</v>
      </c>
      <c r="G91" s="325">
        <f>'[1]7.Komunikácie'!$V$35</f>
        <v>0</v>
      </c>
      <c r="H91" s="488">
        <f>SUM(I91:K91)</f>
        <v>10000</v>
      </c>
      <c r="I91" s="495">
        <f>'[2]7.Komunikácie'!$N$35</f>
        <v>0</v>
      </c>
      <c r="J91" s="495">
        <f>'[2]7.Komunikácie'!$O$35</f>
        <v>10000</v>
      </c>
      <c r="K91" s="450">
        <f>'[2]7.Komunikácie'!$P$35</f>
        <v>0</v>
      </c>
      <c r="L91" s="315">
        <f>SUM(M91:O91)</f>
        <v>0</v>
      </c>
      <c r="M91" s="309">
        <f>'[2]7.Komunikácie'!$Q$35</f>
        <v>0</v>
      </c>
      <c r="N91" s="309">
        <f>'[2]7.Komunikácie'!$R$35</f>
        <v>0</v>
      </c>
      <c r="O91" s="338">
        <f>'[2]7.Komunikácie'!$S$35</f>
        <v>0</v>
      </c>
      <c r="P91" s="315">
        <f>SUM(Q91:S91)</f>
        <v>0</v>
      </c>
      <c r="Q91" s="309">
        <f>'[2]7.Komunikácie'!$T$35</f>
        <v>0</v>
      </c>
      <c r="R91" s="309">
        <f>'[2]7.Komunikácie'!$U$35</f>
        <v>0</v>
      </c>
      <c r="S91" s="310">
        <f>'[2]7.Komunikácie'!$V$35</f>
        <v>0</v>
      </c>
    </row>
    <row r="92" spans="1:19" ht="16.5" outlineLevel="1" thickBot="1" x14ac:dyDescent="0.3">
      <c r="A92" s="155"/>
      <c r="B92" s="347">
        <v>2</v>
      </c>
      <c r="C92" s="348" t="s">
        <v>259</v>
      </c>
      <c r="D92" s="313">
        <f>SUM(E92:G92)</f>
        <v>0</v>
      </c>
      <c r="E92" s="314">
        <f>'[1]7.Komunikácie'!$T$38</f>
        <v>0</v>
      </c>
      <c r="F92" s="314">
        <f>'[1]7.Komunikácie'!$U$38</f>
        <v>0</v>
      </c>
      <c r="G92" s="335">
        <f>'[1]7.Komunikácie'!$V$38</f>
        <v>0</v>
      </c>
      <c r="H92" s="490">
        <f>SUM(I92:K92)</f>
        <v>0</v>
      </c>
      <c r="I92" s="497">
        <f>'[2]7.Komunikácie'!$N$38</f>
        <v>0</v>
      </c>
      <c r="J92" s="497">
        <f>'[2]7.Komunikácie'!$O$38</f>
        <v>0</v>
      </c>
      <c r="K92" s="474">
        <f>'[2]7.Komunikácie'!$P$38</f>
        <v>0</v>
      </c>
      <c r="L92" s="336">
        <f>SUM(M92:O92)</f>
        <v>0</v>
      </c>
      <c r="M92" s="337">
        <f>'[2]7.Komunikácie'!$Q$38</f>
        <v>0</v>
      </c>
      <c r="N92" s="337">
        <f>'[2]7.Komunikácie'!$R$38</f>
        <v>0</v>
      </c>
      <c r="O92" s="501">
        <f>'[2]7.Komunikácie'!$S$38</f>
        <v>0</v>
      </c>
      <c r="P92" s="336">
        <f>SUM(Q92:S92)</f>
        <v>0</v>
      </c>
      <c r="Q92" s="337">
        <f>'[2]7.Komunikácie'!$T$38</f>
        <v>0</v>
      </c>
      <c r="R92" s="337">
        <f>'[2]7.Komunikácie'!$U$38</f>
        <v>0</v>
      </c>
      <c r="S92" s="379">
        <f>'[2]7.Komunikácie'!$V$38</f>
        <v>0</v>
      </c>
    </row>
    <row r="93" spans="1:19" s="157" customFormat="1" ht="15.75" x14ac:dyDescent="0.25">
      <c r="B93" s="349" t="s">
        <v>260</v>
      </c>
      <c r="C93" s="350"/>
      <c r="D93" s="306">
        <f t="shared" ref="D93:G93" si="122">D94+D95</f>
        <v>83937.600000000006</v>
      </c>
      <c r="E93" s="305">
        <f t="shared" si="122"/>
        <v>83937.600000000006</v>
      </c>
      <c r="F93" s="305">
        <f t="shared" si="122"/>
        <v>0</v>
      </c>
      <c r="G93" s="331">
        <f t="shared" si="122"/>
        <v>0</v>
      </c>
      <c r="H93" s="332">
        <f>H94+H95</f>
        <v>79225.87</v>
      </c>
      <c r="I93" s="333">
        <f t="shared" ref="I93:K93" si="123">I94+I95</f>
        <v>79225.87</v>
      </c>
      <c r="J93" s="333">
        <f t="shared" si="123"/>
        <v>0</v>
      </c>
      <c r="K93" s="334">
        <f t="shared" si="123"/>
        <v>0</v>
      </c>
      <c r="L93" s="332">
        <f>L94+L95</f>
        <v>85200</v>
      </c>
      <c r="M93" s="333">
        <f t="shared" ref="M93:O93" si="124">M94+M95</f>
        <v>85200</v>
      </c>
      <c r="N93" s="333">
        <f t="shared" si="124"/>
        <v>0</v>
      </c>
      <c r="O93" s="434">
        <f t="shared" si="124"/>
        <v>0</v>
      </c>
      <c r="P93" s="332">
        <f>P94+P95</f>
        <v>80963.48</v>
      </c>
      <c r="Q93" s="333">
        <f t="shared" ref="Q93:S93" si="125">Q94+Q95</f>
        <v>80963.48</v>
      </c>
      <c r="R93" s="333">
        <f t="shared" si="125"/>
        <v>0</v>
      </c>
      <c r="S93" s="334">
        <f t="shared" si="125"/>
        <v>0</v>
      </c>
    </row>
    <row r="94" spans="1:19" ht="15.75" x14ac:dyDescent="0.25">
      <c r="A94" s="155"/>
      <c r="B94" s="357" t="s">
        <v>261</v>
      </c>
      <c r="C94" s="346" t="s">
        <v>262</v>
      </c>
      <c r="D94" s="308">
        <f>SUM(E94:G94)</f>
        <v>73500</v>
      </c>
      <c r="E94" s="307">
        <f>'[1]8.Doprava'!$T$4</f>
        <v>73500</v>
      </c>
      <c r="F94" s="307">
        <f>'[1]8.Doprava'!$U$4</f>
        <v>0</v>
      </c>
      <c r="G94" s="325">
        <f>'[1]8.Doprava'!$V$4</f>
        <v>0</v>
      </c>
      <c r="H94" s="315">
        <f>SUM(I94:K94)</f>
        <v>74225.87</v>
      </c>
      <c r="I94" s="309">
        <f>'[2]8.Doprava'!$N$4</f>
        <v>74225.87</v>
      </c>
      <c r="J94" s="309">
        <f>'[2]8.Doprava'!$O$4</f>
        <v>0</v>
      </c>
      <c r="K94" s="310">
        <f>'[2]8.Doprava'!$P$4</f>
        <v>0</v>
      </c>
      <c r="L94" s="315">
        <f>SUM(M94:O94)</f>
        <v>85000</v>
      </c>
      <c r="M94" s="309">
        <f>'[2]8.Doprava'!$Q$4</f>
        <v>85000</v>
      </c>
      <c r="N94" s="309">
        <f>'[2]8.Doprava'!$R$4</f>
        <v>0</v>
      </c>
      <c r="O94" s="338">
        <f>'[2]8.Doprava'!$S$4</f>
        <v>0</v>
      </c>
      <c r="P94" s="315">
        <f>SUM(Q94:S94)</f>
        <v>80790.98</v>
      </c>
      <c r="Q94" s="309">
        <f>'[2]8.Doprava'!$T$4</f>
        <v>80790.98</v>
      </c>
      <c r="R94" s="309">
        <f>'[2]8.Doprava'!$U$4</f>
        <v>0</v>
      </c>
      <c r="S94" s="310">
        <f>'[2]8.Doprava'!$V$4</f>
        <v>0</v>
      </c>
    </row>
    <row r="95" spans="1:19" ht="15.75" x14ac:dyDescent="0.25">
      <c r="A95" s="155"/>
      <c r="B95" s="357" t="s">
        <v>263</v>
      </c>
      <c r="C95" s="346" t="s">
        <v>264</v>
      </c>
      <c r="D95" s="308">
        <f t="shared" ref="D95:G95" si="126">SUM(D96)</f>
        <v>10437.6</v>
      </c>
      <c r="E95" s="307">
        <f t="shared" si="126"/>
        <v>10437.6</v>
      </c>
      <c r="F95" s="307">
        <f t="shared" si="126"/>
        <v>0</v>
      </c>
      <c r="G95" s="325">
        <f t="shared" si="126"/>
        <v>0</v>
      </c>
      <c r="H95" s="315">
        <f>SUM(H96)</f>
        <v>5000</v>
      </c>
      <c r="I95" s="309">
        <f t="shared" ref="I95:K95" si="127">SUM(I96)</f>
        <v>5000</v>
      </c>
      <c r="J95" s="309">
        <f t="shared" si="127"/>
        <v>0</v>
      </c>
      <c r="K95" s="310">
        <f t="shared" si="127"/>
        <v>0</v>
      </c>
      <c r="L95" s="315">
        <f>SUM(L96)</f>
        <v>200</v>
      </c>
      <c r="M95" s="309">
        <f t="shared" ref="M95:O95" si="128">SUM(M96)</f>
        <v>200</v>
      </c>
      <c r="N95" s="309">
        <f t="shared" si="128"/>
        <v>0</v>
      </c>
      <c r="O95" s="338">
        <f t="shared" si="128"/>
        <v>0</v>
      </c>
      <c r="P95" s="315">
        <f>SUM(P96)</f>
        <v>172.5</v>
      </c>
      <c r="Q95" s="309">
        <f t="shared" ref="Q95:S95" si="129">SUM(Q96)</f>
        <v>172.5</v>
      </c>
      <c r="R95" s="309">
        <f t="shared" si="129"/>
        <v>0</v>
      </c>
      <c r="S95" s="310">
        <f t="shared" si="129"/>
        <v>0</v>
      </c>
    </row>
    <row r="96" spans="1:19" ht="16.5" thickBot="1" x14ac:dyDescent="0.3">
      <c r="A96" s="155"/>
      <c r="B96" s="347">
        <v>1</v>
      </c>
      <c r="C96" s="348" t="s">
        <v>265</v>
      </c>
      <c r="D96" s="313">
        <f>SUM(E96:G96)</f>
        <v>10437.6</v>
      </c>
      <c r="E96" s="314">
        <f>'[1]8.Doprava'!$T$7</f>
        <v>10437.6</v>
      </c>
      <c r="F96" s="314">
        <f>'[1]8.Doprava'!$U$7</f>
        <v>0</v>
      </c>
      <c r="G96" s="335">
        <f>'[1]8.Doprava'!$V$7</f>
        <v>0</v>
      </c>
      <c r="H96" s="328">
        <f>SUM(I96:K96)</f>
        <v>5000</v>
      </c>
      <c r="I96" s="329">
        <f>'[2]8.Doprava'!$N$7</f>
        <v>5000</v>
      </c>
      <c r="J96" s="329">
        <f>'[2]8.Doprava'!$O$7</f>
        <v>0</v>
      </c>
      <c r="K96" s="330">
        <f>'[2]8.Doprava'!$P$7</f>
        <v>0</v>
      </c>
      <c r="L96" s="336">
        <f>SUM(M96:O96)</f>
        <v>200</v>
      </c>
      <c r="M96" s="337">
        <f>'[2]8.Doprava'!$Q$7</f>
        <v>200</v>
      </c>
      <c r="N96" s="337">
        <f>'[2]8.Doprava'!$R$7</f>
        <v>0</v>
      </c>
      <c r="O96" s="501">
        <f>'[2]8.Doprava'!$S$7</f>
        <v>0</v>
      </c>
      <c r="P96" s="336">
        <f>SUM(Q96:S96)</f>
        <v>172.5</v>
      </c>
      <c r="Q96" s="337">
        <f>'[2]8.Doprava'!$T$7</f>
        <v>172.5</v>
      </c>
      <c r="R96" s="337">
        <f>'[2]8.Doprava'!$U$7</f>
        <v>0</v>
      </c>
      <c r="S96" s="379">
        <f>'[2]8.Doprava'!$V$7</f>
        <v>0</v>
      </c>
    </row>
    <row r="97" spans="1:19" s="157" customFormat="1" ht="15.75" x14ac:dyDescent="0.25">
      <c r="B97" s="349" t="s">
        <v>266</v>
      </c>
      <c r="C97" s="350"/>
      <c r="D97" s="306">
        <f t="shared" ref="D97:G97" si="130">D98+D99+D108+D115+D118+D119+D120</f>
        <v>6909152.4499999983</v>
      </c>
      <c r="E97" s="305">
        <f t="shared" si="130"/>
        <v>6411152.8899999987</v>
      </c>
      <c r="F97" s="305">
        <f t="shared" si="130"/>
        <v>497999.56</v>
      </c>
      <c r="G97" s="331">
        <f t="shared" si="130"/>
        <v>0</v>
      </c>
      <c r="H97" s="487">
        <f>H98+H99+H108+H115+H118+H119+H120</f>
        <v>7150131.9100000011</v>
      </c>
      <c r="I97" s="494">
        <f t="shared" ref="I97:K97" si="131">I98+I99+I108+I115+I118+I119+I120</f>
        <v>6884920.5200000005</v>
      </c>
      <c r="J97" s="494">
        <f t="shared" si="131"/>
        <v>265211.38999999996</v>
      </c>
      <c r="K97" s="553">
        <f t="shared" si="131"/>
        <v>0</v>
      </c>
      <c r="L97" s="332">
        <f t="shared" ref="L97:S97" si="132">L98+L99+L108+L115+L118+L119+L120+L121</f>
        <v>8858688</v>
      </c>
      <c r="M97" s="333">
        <f t="shared" si="132"/>
        <v>8453209</v>
      </c>
      <c r="N97" s="333">
        <f t="shared" si="132"/>
        <v>405479</v>
      </c>
      <c r="O97" s="434">
        <f t="shared" si="132"/>
        <v>0</v>
      </c>
      <c r="P97" s="332">
        <f t="shared" si="132"/>
        <v>8292279.8099999996</v>
      </c>
      <c r="Q97" s="333">
        <f t="shared" si="132"/>
        <v>7930020.6499999994</v>
      </c>
      <c r="R97" s="333">
        <f t="shared" si="132"/>
        <v>362259.16</v>
      </c>
      <c r="S97" s="334">
        <f t="shared" si="132"/>
        <v>0</v>
      </c>
    </row>
    <row r="98" spans="1:19" ht="15.75" x14ac:dyDescent="0.25">
      <c r="A98" s="155"/>
      <c r="B98" s="357" t="s">
        <v>267</v>
      </c>
      <c r="C98" s="346" t="s">
        <v>268</v>
      </c>
      <c r="D98" s="308">
        <f>SUM(E98:G98)</f>
        <v>4658.8999999999996</v>
      </c>
      <c r="E98" s="307">
        <f>'[1]9. Vzdelávanie'!$T$4</f>
        <v>4658.8999999999996</v>
      </c>
      <c r="F98" s="307">
        <f>'[1]9. Vzdelávanie'!$U$4</f>
        <v>0</v>
      </c>
      <c r="G98" s="325">
        <f>'[1]9. Vzdelávanie'!$V$4</f>
        <v>0</v>
      </c>
      <c r="H98" s="488">
        <f>SUM(I98:K98)</f>
        <v>2735.57</v>
      </c>
      <c r="I98" s="495">
        <f>'[2]9. Vzdelávanie'!$N$4</f>
        <v>2735.57</v>
      </c>
      <c r="J98" s="495">
        <f>'[2]9. Vzdelávanie'!$O$4</f>
        <v>0</v>
      </c>
      <c r="K98" s="554">
        <f>'[2]9. Vzdelávanie'!$P$4</f>
        <v>0</v>
      </c>
      <c r="L98" s="315">
        <f>SUM(M98:O98)</f>
        <v>4000</v>
      </c>
      <c r="M98" s="309">
        <f>'[2]9. Vzdelávanie'!$Q$4</f>
        <v>4000</v>
      </c>
      <c r="N98" s="309">
        <f>'[2]9. Vzdelávanie'!$R$4</f>
        <v>0</v>
      </c>
      <c r="O98" s="338">
        <f>'[2]9. Vzdelávanie'!$S$4</f>
        <v>0</v>
      </c>
      <c r="P98" s="315">
        <f>SUM(Q98:S98)</f>
        <v>3878.35</v>
      </c>
      <c r="Q98" s="309">
        <f>'[2]9. Vzdelávanie'!$T$4</f>
        <v>3878.35</v>
      </c>
      <c r="R98" s="309">
        <f>'[2]9. Vzdelávanie'!$U$4</f>
        <v>0</v>
      </c>
      <c r="S98" s="310">
        <f>'[2]9. Vzdelávanie'!$V$4</f>
        <v>0</v>
      </c>
    </row>
    <row r="99" spans="1:19" ht="15.75" x14ac:dyDescent="0.25">
      <c r="A99" s="155"/>
      <c r="B99" s="357" t="s">
        <v>269</v>
      </c>
      <c r="C99" s="346" t="s">
        <v>270</v>
      </c>
      <c r="D99" s="308">
        <f t="shared" ref="D99:G99" si="133">SUM(D100:D107)</f>
        <v>1500346.45</v>
      </c>
      <c r="E99" s="307">
        <f t="shared" si="133"/>
        <v>1479468.45</v>
      </c>
      <c r="F99" s="307">
        <f t="shared" si="133"/>
        <v>20878</v>
      </c>
      <c r="G99" s="325">
        <f t="shared" si="133"/>
        <v>0</v>
      </c>
      <c r="H99" s="488">
        <f>SUM(H100:H107)</f>
        <v>1556776.7</v>
      </c>
      <c r="I99" s="495">
        <f t="shared" ref="I99:K99" si="134">SUM(I100:I107)</f>
        <v>1504676</v>
      </c>
      <c r="J99" s="495">
        <f t="shared" si="134"/>
        <v>52100.7</v>
      </c>
      <c r="K99" s="554">
        <f t="shared" si="134"/>
        <v>0</v>
      </c>
      <c r="L99" s="315">
        <f>SUM(L100:L107)</f>
        <v>1619986</v>
      </c>
      <c r="M99" s="309">
        <f t="shared" ref="M99:O99" si="135">SUM(M100:M107)</f>
        <v>1609811</v>
      </c>
      <c r="N99" s="309">
        <f t="shared" si="135"/>
        <v>10175</v>
      </c>
      <c r="O99" s="338">
        <f t="shared" si="135"/>
        <v>0</v>
      </c>
      <c r="P99" s="315">
        <f>SUM(P100:P107)</f>
        <v>1619985.49</v>
      </c>
      <c r="Q99" s="309">
        <f t="shared" ref="Q99:S99" si="136">SUM(Q100:Q107)</f>
        <v>1609811</v>
      </c>
      <c r="R99" s="309">
        <f t="shared" si="136"/>
        <v>10174.49</v>
      </c>
      <c r="S99" s="310">
        <f t="shared" si="136"/>
        <v>0</v>
      </c>
    </row>
    <row r="100" spans="1:19" ht="15.75" x14ac:dyDescent="0.25">
      <c r="A100" s="155"/>
      <c r="B100" s="344">
        <v>1</v>
      </c>
      <c r="C100" s="346" t="s">
        <v>271</v>
      </c>
      <c r="D100" s="308">
        <f t="shared" ref="D100:D107" si="137">SUM(E100:G100)</f>
        <v>163408</v>
      </c>
      <c r="E100" s="307">
        <f>'[1]9. Vzdelávanie'!$T$19</f>
        <v>147030</v>
      </c>
      <c r="F100" s="307">
        <f>'[1]9. Vzdelávanie'!$U$19</f>
        <v>16378</v>
      </c>
      <c r="G100" s="325">
        <f>'[1]9. Vzdelávanie'!$V$19</f>
        <v>0</v>
      </c>
      <c r="H100" s="488">
        <f>SUM(I100:K100)</f>
        <v>160305</v>
      </c>
      <c r="I100" s="495">
        <f>'[2]9. Vzdelávanie'!$N$20</f>
        <v>160305</v>
      </c>
      <c r="J100" s="495">
        <f>'[2]9. Vzdelávanie'!$O$20</f>
        <v>0</v>
      </c>
      <c r="K100" s="554">
        <f>'[2]9. Vzdelávanie'!$P$20</f>
        <v>0</v>
      </c>
      <c r="L100" s="315">
        <f>SUM(M100:O100)</f>
        <v>174155</v>
      </c>
      <c r="M100" s="309">
        <f>'[2]9. Vzdelávanie'!$Q$20</f>
        <v>174155</v>
      </c>
      <c r="N100" s="309">
        <f>'[2]9. Vzdelávanie'!$R$20</f>
        <v>0</v>
      </c>
      <c r="O100" s="338">
        <f>'[2]9. Vzdelávanie'!$S$20</f>
        <v>0</v>
      </c>
      <c r="P100" s="315">
        <f>SUM(Q100:S100)</f>
        <v>174155</v>
      </c>
      <c r="Q100" s="309">
        <f>'[2]9. Vzdelávanie'!$T$20</f>
        <v>174155</v>
      </c>
      <c r="R100" s="309">
        <f>'[2]9. Vzdelávanie'!$U$20</f>
        <v>0</v>
      </c>
      <c r="S100" s="310">
        <f>'[2]9. Vzdelávanie'!$V$20</f>
        <v>0</v>
      </c>
    </row>
    <row r="101" spans="1:19" ht="15.75" x14ac:dyDescent="0.25">
      <c r="A101" s="155"/>
      <c r="B101" s="344">
        <v>2</v>
      </c>
      <c r="C101" s="346" t="s">
        <v>272</v>
      </c>
      <c r="D101" s="308">
        <f t="shared" si="137"/>
        <v>304577</v>
      </c>
      <c r="E101" s="307">
        <f>'[1]9. Vzdelávanie'!$T$20</f>
        <v>302177</v>
      </c>
      <c r="F101" s="307">
        <f>'[1]9. Vzdelávanie'!$U$20</f>
        <v>2400</v>
      </c>
      <c r="G101" s="325">
        <f>'[1]9. Vzdelávanie'!$V$20</f>
        <v>0</v>
      </c>
      <c r="H101" s="488">
        <f t="shared" ref="H101:H107" si="138">SUM(I101:K101)</f>
        <v>306516</v>
      </c>
      <c r="I101" s="495">
        <f>'[2]9. Vzdelávanie'!$N$21</f>
        <v>306516</v>
      </c>
      <c r="J101" s="495">
        <f>'[2]9. Vzdelávanie'!$O$21</f>
        <v>0</v>
      </c>
      <c r="K101" s="554">
        <f>'[2]9. Vzdelávanie'!$P$21</f>
        <v>0</v>
      </c>
      <c r="L101" s="315">
        <f t="shared" ref="L101:L107" si="139">SUM(M101:O101)</f>
        <v>312191</v>
      </c>
      <c r="M101" s="309">
        <f>'[2]9. Vzdelávanie'!$Q$21</f>
        <v>312191</v>
      </c>
      <c r="N101" s="309">
        <f>'[2]9. Vzdelávanie'!$R$21</f>
        <v>0</v>
      </c>
      <c r="O101" s="338">
        <f>'[2]9. Vzdelávanie'!$S$21</f>
        <v>0</v>
      </c>
      <c r="P101" s="315">
        <f t="shared" ref="P101:P107" si="140">SUM(Q101:S101)</f>
        <v>312191</v>
      </c>
      <c r="Q101" s="309">
        <f>'[2]9. Vzdelávanie'!$T$21</f>
        <v>312191</v>
      </c>
      <c r="R101" s="309">
        <f>'[2]9. Vzdelávanie'!$U$21</f>
        <v>0</v>
      </c>
      <c r="S101" s="310">
        <f>'[2]9. Vzdelávanie'!$V$21</f>
        <v>0</v>
      </c>
    </row>
    <row r="102" spans="1:19" ht="15.75" x14ac:dyDescent="0.25">
      <c r="A102" s="155"/>
      <c r="B102" s="344">
        <v>3</v>
      </c>
      <c r="C102" s="346" t="s">
        <v>273</v>
      </c>
      <c r="D102" s="308">
        <f t="shared" si="137"/>
        <v>340198</v>
      </c>
      <c r="E102" s="307">
        <f>'[1]9. Vzdelávanie'!$T$21</f>
        <v>340198</v>
      </c>
      <c r="F102" s="307">
        <f>'[1]9. Vzdelávanie'!$U$21</f>
        <v>0</v>
      </c>
      <c r="G102" s="325">
        <f>'[1]9. Vzdelávanie'!$V$21</f>
        <v>0</v>
      </c>
      <c r="H102" s="488">
        <f t="shared" si="138"/>
        <v>373292</v>
      </c>
      <c r="I102" s="495">
        <f>'[2]9. Vzdelávanie'!$N$22</f>
        <v>373292</v>
      </c>
      <c r="J102" s="495">
        <f>'[2]9. Vzdelávanie'!$O$22</f>
        <v>0</v>
      </c>
      <c r="K102" s="554">
        <f>'[2]9. Vzdelávanie'!$P$22</f>
        <v>0</v>
      </c>
      <c r="L102" s="315">
        <f t="shared" si="139"/>
        <v>413699</v>
      </c>
      <c r="M102" s="309">
        <f>'[2]9. Vzdelávanie'!$Q$22</f>
        <v>406089</v>
      </c>
      <c r="N102" s="309">
        <f>'[2]9. Vzdelávanie'!$R$22</f>
        <v>7610</v>
      </c>
      <c r="O102" s="338">
        <f>'[2]9. Vzdelávanie'!$S$22</f>
        <v>0</v>
      </c>
      <c r="P102" s="315">
        <f t="shared" si="140"/>
        <v>413698.49</v>
      </c>
      <c r="Q102" s="309">
        <f>'[2]9. Vzdelávanie'!$T$22</f>
        <v>406089</v>
      </c>
      <c r="R102" s="309">
        <f>'[2]9. Vzdelávanie'!$U$22</f>
        <v>7609.49</v>
      </c>
      <c r="S102" s="310">
        <f>'[2]9. Vzdelávanie'!$V$22</f>
        <v>0</v>
      </c>
    </row>
    <row r="103" spans="1:19" ht="15.75" x14ac:dyDescent="0.25">
      <c r="A103" s="150"/>
      <c r="B103" s="344">
        <v>4</v>
      </c>
      <c r="C103" s="346" t="s">
        <v>444</v>
      </c>
      <c r="D103" s="308">
        <f t="shared" si="137"/>
        <v>83881.45</v>
      </c>
      <c r="E103" s="307">
        <f>'[1]9. Vzdelávanie'!$T$22</f>
        <v>83881.45</v>
      </c>
      <c r="F103" s="307">
        <f>'[1]9. Vzdelávanie'!$U$22</f>
        <v>0</v>
      </c>
      <c r="G103" s="325">
        <f>'[1]9. Vzdelávanie'!$V$22</f>
        <v>0</v>
      </c>
      <c r="H103" s="488">
        <f t="shared" si="138"/>
        <v>0</v>
      </c>
      <c r="I103" s="495">
        <f>'[2]9. Vzdelávanie'!$N$23</f>
        <v>0</v>
      </c>
      <c r="J103" s="495">
        <f>'[2]9. Vzdelávanie'!$O$23</f>
        <v>0</v>
      </c>
      <c r="K103" s="554">
        <f>'[2]9. Vzdelávanie'!$P$23</f>
        <v>0</v>
      </c>
      <c r="L103" s="315">
        <f t="shared" si="139"/>
        <v>0</v>
      </c>
      <c r="M103" s="309">
        <f>'[2]9. Vzdelávanie'!$Q$23</f>
        <v>0</v>
      </c>
      <c r="N103" s="309">
        <f>'[2]9. Vzdelávanie'!$R$23</f>
        <v>0</v>
      </c>
      <c r="O103" s="338">
        <f>'[2]9. Vzdelávanie'!$S$23</f>
        <v>0</v>
      </c>
      <c r="P103" s="315">
        <f t="shared" si="140"/>
        <v>0</v>
      </c>
      <c r="Q103" s="309">
        <f>'[2]9. Vzdelávanie'!$T$23</f>
        <v>0</v>
      </c>
      <c r="R103" s="309">
        <f>'[2]9. Vzdelávanie'!$U$23</f>
        <v>0</v>
      </c>
      <c r="S103" s="310">
        <f>'[2]9. Vzdelávanie'!$V$23</f>
        <v>0</v>
      </c>
    </row>
    <row r="104" spans="1:19" ht="15.75" x14ac:dyDescent="0.25">
      <c r="A104" s="155"/>
      <c r="B104" s="344">
        <v>5</v>
      </c>
      <c r="C104" s="346" t="s">
        <v>275</v>
      </c>
      <c r="D104" s="308">
        <f t="shared" si="137"/>
        <v>199594</v>
      </c>
      <c r="E104" s="307">
        <f>'[1]9. Vzdelávanie'!$T$23</f>
        <v>197494</v>
      </c>
      <c r="F104" s="307">
        <f>'[1]9. Vzdelávanie'!$U$23</f>
        <v>2100</v>
      </c>
      <c r="G104" s="325">
        <f>'[1]9. Vzdelávanie'!$V$23</f>
        <v>0</v>
      </c>
      <c r="H104" s="488">
        <f t="shared" si="138"/>
        <v>254608.7</v>
      </c>
      <c r="I104" s="495">
        <f>'[2]9. Vzdelávanie'!$N$24</f>
        <v>204658</v>
      </c>
      <c r="J104" s="495">
        <f>'[2]9. Vzdelávanie'!$O$24</f>
        <v>49950.7</v>
      </c>
      <c r="K104" s="554">
        <f>'[2]9. Vzdelávanie'!$P$24</f>
        <v>0</v>
      </c>
      <c r="L104" s="315">
        <f t="shared" si="139"/>
        <v>219549</v>
      </c>
      <c r="M104" s="309">
        <f>'[2]9. Vzdelávanie'!$Q$24</f>
        <v>219549</v>
      </c>
      <c r="N104" s="309">
        <f>'[2]9. Vzdelávanie'!$R$24</f>
        <v>0</v>
      </c>
      <c r="O104" s="338">
        <f>'[2]9. Vzdelávanie'!$S$24</f>
        <v>0</v>
      </c>
      <c r="P104" s="315">
        <f t="shared" si="140"/>
        <v>219549</v>
      </c>
      <c r="Q104" s="309">
        <f>'[2]9. Vzdelávanie'!$T$24</f>
        <v>219549</v>
      </c>
      <c r="R104" s="309">
        <f>'[2]9. Vzdelávanie'!$U$24</f>
        <v>0</v>
      </c>
      <c r="S104" s="310">
        <f>'[2]9. Vzdelávanie'!$V$24</f>
        <v>0</v>
      </c>
    </row>
    <row r="105" spans="1:19" ht="15.75" x14ac:dyDescent="0.25">
      <c r="A105" s="155"/>
      <c r="B105" s="344">
        <v>6</v>
      </c>
      <c r="C105" s="346" t="s">
        <v>276</v>
      </c>
      <c r="D105" s="308">
        <f t="shared" si="137"/>
        <v>189654</v>
      </c>
      <c r="E105" s="307">
        <f>'[1]9. Vzdelávanie'!$T$24</f>
        <v>189654</v>
      </c>
      <c r="F105" s="307">
        <f>'[1]9. Vzdelávanie'!$U$24</f>
        <v>0</v>
      </c>
      <c r="G105" s="325">
        <f>'[1]9. Vzdelávanie'!$V$24</f>
        <v>0</v>
      </c>
      <c r="H105" s="488">
        <f t="shared" si="138"/>
        <v>212664</v>
      </c>
      <c r="I105" s="495">
        <f>'[2]9. Vzdelávanie'!$N$25</f>
        <v>210514</v>
      </c>
      <c r="J105" s="495">
        <f>'[2]9. Vzdelávanie'!$O$25</f>
        <v>2150</v>
      </c>
      <c r="K105" s="554">
        <f>'[2]9. Vzdelávanie'!$P$25</f>
        <v>0</v>
      </c>
      <c r="L105" s="315">
        <f t="shared" si="139"/>
        <v>236605</v>
      </c>
      <c r="M105" s="309">
        <f>'[2]9. Vzdelávanie'!$Q$25</f>
        <v>234040</v>
      </c>
      <c r="N105" s="309">
        <f>'[2]9. Vzdelávanie'!$R$25</f>
        <v>2565</v>
      </c>
      <c r="O105" s="338">
        <f>'[2]9. Vzdelávanie'!$S$25</f>
        <v>0</v>
      </c>
      <c r="P105" s="315">
        <f t="shared" si="140"/>
        <v>236605</v>
      </c>
      <c r="Q105" s="309">
        <f>'[2]9. Vzdelávanie'!$T$25</f>
        <v>234040</v>
      </c>
      <c r="R105" s="309">
        <f>'[2]9. Vzdelávanie'!$U$25</f>
        <v>2565</v>
      </c>
      <c r="S105" s="310">
        <f>'[2]9. Vzdelávanie'!$V$25</f>
        <v>0</v>
      </c>
    </row>
    <row r="106" spans="1:19" ht="15.75" x14ac:dyDescent="0.25">
      <c r="A106" s="155"/>
      <c r="B106" s="344">
        <v>7</v>
      </c>
      <c r="C106" s="346" t="s">
        <v>277</v>
      </c>
      <c r="D106" s="308">
        <f t="shared" si="137"/>
        <v>185514</v>
      </c>
      <c r="E106" s="307">
        <f>'[1]9. Vzdelávanie'!$T$25</f>
        <v>185514</v>
      </c>
      <c r="F106" s="307">
        <f>'[1]9. Vzdelávanie'!$U$25</f>
        <v>0</v>
      </c>
      <c r="G106" s="325">
        <f>'[1]9. Vzdelávanie'!$V$25</f>
        <v>0</v>
      </c>
      <c r="H106" s="488">
        <f t="shared" si="138"/>
        <v>209041</v>
      </c>
      <c r="I106" s="495">
        <f>'[2]9. Vzdelávanie'!$N$26</f>
        <v>209041</v>
      </c>
      <c r="J106" s="495">
        <f>'[2]9. Vzdelávanie'!$O$26</f>
        <v>0</v>
      </c>
      <c r="K106" s="554">
        <f>'[2]9. Vzdelávanie'!$P$26</f>
        <v>0</v>
      </c>
      <c r="L106" s="315">
        <f t="shared" si="139"/>
        <v>218787</v>
      </c>
      <c r="M106" s="309">
        <f>'[2]9. Vzdelávanie'!$Q$26</f>
        <v>218787</v>
      </c>
      <c r="N106" s="309">
        <f>'[2]9. Vzdelávanie'!$R$26</f>
        <v>0</v>
      </c>
      <c r="O106" s="338">
        <f>'[2]9. Vzdelávanie'!$S$26</f>
        <v>0</v>
      </c>
      <c r="P106" s="315">
        <f t="shared" si="140"/>
        <v>218787</v>
      </c>
      <c r="Q106" s="309">
        <f>'[2]9. Vzdelávanie'!$T$26</f>
        <v>218787</v>
      </c>
      <c r="R106" s="309">
        <f>'[2]9. Vzdelávanie'!$U$26</f>
        <v>0</v>
      </c>
      <c r="S106" s="310">
        <f>'[2]9. Vzdelávanie'!$V$26</f>
        <v>0</v>
      </c>
    </row>
    <row r="107" spans="1:19" ht="15.75" x14ac:dyDescent="0.25">
      <c r="A107" s="155"/>
      <c r="B107" s="344">
        <v>8</v>
      </c>
      <c r="C107" s="346" t="s">
        <v>462</v>
      </c>
      <c r="D107" s="308">
        <f t="shared" si="137"/>
        <v>33520</v>
      </c>
      <c r="E107" s="307">
        <f>'[1]9. Vzdelávanie'!$T$26</f>
        <v>33520</v>
      </c>
      <c r="F107" s="307">
        <f>'[1]9. Vzdelávanie'!$U$26</f>
        <v>0</v>
      </c>
      <c r="G107" s="325">
        <f>'[1]9. Vzdelávanie'!$V$26</f>
        <v>0</v>
      </c>
      <c r="H107" s="488">
        <f t="shared" si="138"/>
        <v>40350</v>
      </c>
      <c r="I107" s="495">
        <f>'[2]9. Vzdelávanie'!$N$27</f>
        <v>40350</v>
      </c>
      <c r="J107" s="495">
        <f>'[2]9. Vzdelávanie'!$O$27</f>
        <v>0</v>
      </c>
      <c r="K107" s="554">
        <f>'[2]9. Vzdelávanie'!$P$27</f>
        <v>0</v>
      </c>
      <c r="L107" s="315">
        <f t="shared" si="139"/>
        <v>45000</v>
      </c>
      <c r="M107" s="309">
        <f>'[2]9. Vzdelávanie'!$Q$27</f>
        <v>45000</v>
      </c>
      <c r="N107" s="309">
        <f>'[2]9. Vzdelávanie'!$R$27</f>
        <v>0</v>
      </c>
      <c r="O107" s="338">
        <f>'[2]9. Vzdelávanie'!$S$27</f>
        <v>0</v>
      </c>
      <c r="P107" s="315">
        <f t="shared" si="140"/>
        <v>45000</v>
      </c>
      <c r="Q107" s="309">
        <f>'[2]9. Vzdelávanie'!$T$27</f>
        <v>45000</v>
      </c>
      <c r="R107" s="309">
        <f>'[2]9. Vzdelávanie'!$U$27</f>
        <v>0</v>
      </c>
      <c r="S107" s="310">
        <f>'[2]9. Vzdelávanie'!$V$27</f>
        <v>0</v>
      </c>
    </row>
    <row r="108" spans="1:19" ht="15.75" x14ac:dyDescent="0.25">
      <c r="A108" s="155"/>
      <c r="B108" s="357" t="s">
        <v>278</v>
      </c>
      <c r="C108" s="346" t="s">
        <v>279</v>
      </c>
      <c r="D108" s="308">
        <f t="shared" ref="D108:G108" si="141">SUM(D109:D114)</f>
        <v>4193481.2199999997</v>
      </c>
      <c r="E108" s="307">
        <f t="shared" si="141"/>
        <v>3786839.9999999995</v>
      </c>
      <c r="F108" s="307">
        <f t="shared" si="141"/>
        <v>406641.22000000003</v>
      </c>
      <c r="G108" s="325">
        <f t="shared" si="141"/>
        <v>0</v>
      </c>
      <c r="H108" s="488">
        <f>SUM(H109:H114)</f>
        <v>4384925.79</v>
      </c>
      <c r="I108" s="495">
        <f t="shared" ref="I108:K108" si="142">SUM(I109:I114)</f>
        <v>4171815.1</v>
      </c>
      <c r="J108" s="495">
        <f t="shared" si="142"/>
        <v>213110.68999999997</v>
      </c>
      <c r="K108" s="554">
        <f t="shared" si="142"/>
        <v>0</v>
      </c>
      <c r="L108" s="315">
        <f>SUM(L109:L114)</f>
        <v>5146156</v>
      </c>
      <c r="M108" s="309">
        <f t="shared" ref="M108:O108" si="143">SUM(M109:M114)</f>
        <v>4833852</v>
      </c>
      <c r="N108" s="309">
        <f t="shared" si="143"/>
        <v>312304</v>
      </c>
      <c r="O108" s="338">
        <f t="shared" si="143"/>
        <v>0</v>
      </c>
      <c r="P108" s="315">
        <f>SUM(P109:P114)</f>
        <v>4778634.57</v>
      </c>
      <c r="Q108" s="309">
        <f t="shared" ref="Q108:S108" si="144">SUM(Q109:Q114)</f>
        <v>4502491.9000000004</v>
      </c>
      <c r="R108" s="309">
        <f t="shared" si="144"/>
        <v>276142.67</v>
      </c>
      <c r="S108" s="310">
        <f t="shared" si="144"/>
        <v>0</v>
      </c>
    </row>
    <row r="109" spans="1:19" ht="15.75" x14ac:dyDescent="0.25">
      <c r="A109" s="155"/>
      <c r="B109" s="344">
        <v>1</v>
      </c>
      <c r="C109" s="346" t="s">
        <v>280</v>
      </c>
      <c r="D109" s="308">
        <f t="shared" ref="D109:D114" si="145">SUM(E109:G109)</f>
        <v>297308.90000000002</v>
      </c>
      <c r="E109" s="307">
        <f>'[1]9. Vzdelávanie'!$T$28</f>
        <v>297308.90000000002</v>
      </c>
      <c r="F109" s="307">
        <f>'[1]9. Vzdelávanie'!$U$28</f>
        <v>0</v>
      </c>
      <c r="G109" s="325">
        <f>'[1]9. Vzdelávanie'!$V$28</f>
        <v>0</v>
      </c>
      <c r="H109" s="488">
        <f>SUM(I109:K109)</f>
        <v>398885</v>
      </c>
      <c r="I109" s="495">
        <f>'[2]9. Vzdelávanie'!$N$29</f>
        <v>385658</v>
      </c>
      <c r="J109" s="495">
        <f>'[2]9. Vzdelávanie'!$O$29</f>
        <v>13227</v>
      </c>
      <c r="K109" s="554">
        <f>'[2]9. Vzdelávanie'!$P$29</f>
        <v>0</v>
      </c>
      <c r="L109" s="315">
        <f>SUM(M109:O109)</f>
        <v>467252</v>
      </c>
      <c r="M109" s="309">
        <f>'[2]9. Vzdelávanie'!$Q$29</f>
        <v>457252</v>
      </c>
      <c r="N109" s="309">
        <f>'[2]9. Vzdelávanie'!$R$29</f>
        <v>10000</v>
      </c>
      <c r="O109" s="338">
        <f>'[2]9. Vzdelávanie'!$S$29</f>
        <v>0</v>
      </c>
      <c r="P109" s="315">
        <f>SUM(Q109:S109)</f>
        <v>467252</v>
      </c>
      <c r="Q109" s="309">
        <f>'[2]9. Vzdelávanie'!$T$29</f>
        <v>457252</v>
      </c>
      <c r="R109" s="309">
        <f>'[2]9. Vzdelávanie'!$U$29</f>
        <v>10000</v>
      </c>
      <c r="S109" s="310">
        <f>'[2]9. Vzdelávanie'!$V$29</f>
        <v>0</v>
      </c>
    </row>
    <row r="110" spans="1:19" ht="15.75" x14ac:dyDescent="0.25">
      <c r="A110" s="155"/>
      <c r="B110" s="344">
        <v>2</v>
      </c>
      <c r="C110" s="346" t="s">
        <v>529</v>
      </c>
      <c r="D110" s="308">
        <f t="shared" si="145"/>
        <v>876886.19</v>
      </c>
      <c r="E110" s="307">
        <f>'[1]9. Vzdelávanie'!$T$31</f>
        <v>627868</v>
      </c>
      <c r="F110" s="307">
        <f>'[1]9. Vzdelávanie'!$U$31</f>
        <v>249018.19</v>
      </c>
      <c r="G110" s="325">
        <f>'[1]9. Vzdelávanie'!$V$31</f>
        <v>0</v>
      </c>
      <c r="H110" s="488">
        <f t="shared" ref="H110:H114" si="146">SUM(I110:K110)</f>
        <v>821683.88</v>
      </c>
      <c r="I110" s="495">
        <f>'[2]9. Vzdelávanie'!$N$32</f>
        <v>665775</v>
      </c>
      <c r="J110" s="495">
        <f>'[2]9. Vzdelávanie'!$O$32</f>
        <v>155908.87999999998</v>
      </c>
      <c r="K110" s="554">
        <f>'[2]9. Vzdelávanie'!$P$32</f>
        <v>0</v>
      </c>
      <c r="L110" s="315">
        <f t="shared" ref="L110:L114" si="147">SUM(M110:O110)</f>
        <v>808518</v>
      </c>
      <c r="M110" s="309">
        <f>'[2]9. Vzdelávanie'!$Q$32</f>
        <v>751351</v>
      </c>
      <c r="N110" s="309">
        <f>'[2]9. Vzdelávanie'!$R$32</f>
        <v>57167</v>
      </c>
      <c r="O110" s="338">
        <f>'[2]9. Vzdelávanie'!$S$32</f>
        <v>0</v>
      </c>
      <c r="P110" s="315">
        <f t="shared" ref="P110:P114" si="148">SUM(Q110:S110)</f>
        <v>765017.01</v>
      </c>
      <c r="Q110" s="309">
        <f>'[2]9. Vzdelávanie'!$T$32</f>
        <v>707851</v>
      </c>
      <c r="R110" s="309">
        <f>'[2]9. Vzdelávanie'!$U$32</f>
        <v>57166.01</v>
      </c>
      <c r="S110" s="310">
        <f>'[2]9. Vzdelávanie'!$V$32</f>
        <v>0</v>
      </c>
    </row>
    <row r="111" spans="1:19" ht="15.75" x14ac:dyDescent="0.25">
      <c r="A111" s="158"/>
      <c r="B111" s="344">
        <v>3</v>
      </c>
      <c r="C111" s="346" t="s">
        <v>530</v>
      </c>
      <c r="D111" s="308">
        <f t="shared" si="145"/>
        <v>1062635</v>
      </c>
      <c r="E111" s="307">
        <f>'[1]9. Vzdelávanie'!$T$35</f>
        <v>1055759</v>
      </c>
      <c r="F111" s="307">
        <f>'[1]9. Vzdelávanie'!$U$35</f>
        <v>6876</v>
      </c>
      <c r="G111" s="325">
        <f>'[1]9. Vzdelávanie'!$V$35</f>
        <v>0</v>
      </c>
      <c r="H111" s="488">
        <f t="shared" si="146"/>
        <v>1135704</v>
      </c>
      <c r="I111" s="495">
        <f>'[2]9. Vzdelávanie'!$N$36</f>
        <v>1135704</v>
      </c>
      <c r="J111" s="495">
        <f>'[2]9. Vzdelávanie'!$O$36</f>
        <v>0</v>
      </c>
      <c r="K111" s="554">
        <f>'[2]9. Vzdelávanie'!$P$36</f>
        <v>0</v>
      </c>
      <c r="L111" s="315">
        <f t="shared" si="147"/>
        <v>1365303</v>
      </c>
      <c r="M111" s="309">
        <f>'[2]9. Vzdelávanie'!$Q$36</f>
        <v>1272626</v>
      </c>
      <c r="N111" s="309">
        <f>'[2]9. Vzdelávanie'!$R$36</f>
        <v>92677</v>
      </c>
      <c r="O111" s="338">
        <f>'[2]9. Vzdelávanie'!$S$36</f>
        <v>0</v>
      </c>
      <c r="P111" s="315">
        <f t="shared" si="148"/>
        <v>1302805.6100000001</v>
      </c>
      <c r="Q111" s="309">
        <f>'[2]9. Vzdelávanie'!$T$36</f>
        <v>1215106</v>
      </c>
      <c r="R111" s="309">
        <f>'[2]9. Vzdelávanie'!$U$36</f>
        <v>87699.61</v>
      </c>
      <c r="S111" s="310">
        <f>'[2]9. Vzdelávanie'!$V$36</f>
        <v>0</v>
      </c>
    </row>
    <row r="112" spans="1:19" ht="15.75" x14ac:dyDescent="0.25">
      <c r="A112" s="158"/>
      <c r="B112" s="344">
        <v>4</v>
      </c>
      <c r="C112" s="346" t="s">
        <v>531</v>
      </c>
      <c r="D112" s="308">
        <f t="shared" si="145"/>
        <v>706036.7</v>
      </c>
      <c r="E112" s="307">
        <f>'[1]9. Vzdelávanie'!$T$40</f>
        <v>706036.7</v>
      </c>
      <c r="F112" s="307">
        <f>'[1]9. Vzdelávanie'!$U$40</f>
        <v>0</v>
      </c>
      <c r="G112" s="325">
        <f>'[1]9. Vzdelávanie'!$V$40</f>
        <v>0</v>
      </c>
      <c r="H112" s="488">
        <f t="shared" si="146"/>
        <v>769938.1</v>
      </c>
      <c r="I112" s="495">
        <f>'[2]9. Vzdelávanie'!$N$41</f>
        <v>762938.1</v>
      </c>
      <c r="J112" s="495">
        <f>'[2]9. Vzdelávanie'!$O$41</f>
        <v>7000</v>
      </c>
      <c r="K112" s="554">
        <f>'[2]9. Vzdelávanie'!$P$41</f>
        <v>0</v>
      </c>
      <c r="L112" s="315">
        <f t="shared" si="147"/>
        <v>887681</v>
      </c>
      <c r="M112" s="309">
        <f>'[2]9. Vzdelávanie'!$Q$41</f>
        <v>878221</v>
      </c>
      <c r="N112" s="309">
        <f>'[2]9. Vzdelávanie'!$R$41</f>
        <v>9460</v>
      </c>
      <c r="O112" s="338">
        <f>'[2]9. Vzdelávanie'!$S$41</f>
        <v>0</v>
      </c>
      <c r="P112" s="315">
        <f t="shared" si="148"/>
        <v>814523.9</v>
      </c>
      <c r="Q112" s="309">
        <f>'[2]9. Vzdelávanie'!$T$41</f>
        <v>812680.9</v>
      </c>
      <c r="R112" s="309">
        <f>'[2]9. Vzdelávanie'!$U$41</f>
        <v>1843</v>
      </c>
      <c r="S112" s="310">
        <f>'[2]9. Vzdelávanie'!$V$41</f>
        <v>0</v>
      </c>
    </row>
    <row r="113" spans="1:19" ht="15.75" x14ac:dyDescent="0.25">
      <c r="A113" s="158"/>
      <c r="B113" s="344">
        <v>5</v>
      </c>
      <c r="C113" s="346" t="s">
        <v>532</v>
      </c>
      <c r="D113" s="308">
        <f t="shared" si="145"/>
        <v>776926.22</v>
      </c>
      <c r="E113" s="307">
        <f>'[1]9. Vzdelávanie'!$T$43</f>
        <v>696578.4</v>
      </c>
      <c r="F113" s="307">
        <f>'[1]9. Vzdelávanie'!$U$43</f>
        <v>80347.820000000007</v>
      </c>
      <c r="G113" s="325">
        <f>'[1]9. Vzdelávanie'!$V$43</f>
        <v>0</v>
      </c>
      <c r="H113" s="488">
        <f t="shared" si="146"/>
        <v>807244.94</v>
      </c>
      <c r="I113" s="495">
        <f>'[2]9. Vzdelávanie'!$N$44</f>
        <v>784249</v>
      </c>
      <c r="J113" s="495">
        <f>'[2]9. Vzdelávanie'!$O$44</f>
        <v>22995.94</v>
      </c>
      <c r="K113" s="554">
        <f>'[2]9. Vzdelávanie'!$P$44</f>
        <v>0</v>
      </c>
      <c r="L113" s="315">
        <f t="shared" si="147"/>
        <v>1056001</v>
      </c>
      <c r="M113" s="309">
        <f>'[2]9. Vzdelávanie'!$Q$44</f>
        <v>919361</v>
      </c>
      <c r="N113" s="309">
        <f>'[2]9. Vzdelávanie'!$R$44</f>
        <v>136640</v>
      </c>
      <c r="O113" s="338">
        <f>'[2]9. Vzdelávanie'!$S$44</f>
        <v>0</v>
      </c>
      <c r="P113" s="315">
        <f t="shared" si="148"/>
        <v>927035.05</v>
      </c>
      <c r="Q113" s="309">
        <f>'[2]9. Vzdelávanie'!$T$44</f>
        <v>807601</v>
      </c>
      <c r="R113" s="309">
        <f>'[2]9. Vzdelávanie'!$U$44</f>
        <v>119434.05</v>
      </c>
      <c r="S113" s="310">
        <f>'[2]9. Vzdelávanie'!$V$44</f>
        <v>0</v>
      </c>
    </row>
    <row r="114" spans="1:19" ht="15.75" x14ac:dyDescent="0.25">
      <c r="A114" s="158"/>
      <c r="B114" s="344">
        <v>6</v>
      </c>
      <c r="C114" s="346" t="s">
        <v>533</v>
      </c>
      <c r="D114" s="308">
        <f t="shared" si="145"/>
        <v>473688.21</v>
      </c>
      <c r="E114" s="307">
        <f>'[1]9. Vzdelávanie'!$T$46</f>
        <v>403289</v>
      </c>
      <c r="F114" s="307">
        <f>'[1]9. Vzdelávanie'!$U$46</f>
        <v>70399.210000000006</v>
      </c>
      <c r="G114" s="325">
        <f>'[1]9. Vzdelávanie'!$V$46</f>
        <v>0</v>
      </c>
      <c r="H114" s="488">
        <f t="shared" si="146"/>
        <v>451469.87</v>
      </c>
      <c r="I114" s="495">
        <f>'[2]9. Vzdelávanie'!$N$47</f>
        <v>437491</v>
      </c>
      <c r="J114" s="495">
        <f>'[2]9. Vzdelávanie'!$O$47</f>
        <v>13978.87</v>
      </c>
      <c r="K114" s="554">
        <f>'[2]9. Vzdelávanie'!$P$47</f>
        <v>0</v>
      </c>
      <c r="L114" s="315">
        <f t="shared" si="147"/>
        <v>561401</v>
      </c>
      <c r="M114" s="309">
        <f>'[2]9. Vzdelávanie'!$Q$47</f>
        <v>555041</v>
      </c>
      <c r="N114" s="309">
        <f>'[2]9. Vzdelávanie'!$R$47</f>
        <v>6360</v>
      </c>
      <c r="O114" s="338">
        <f>'[2]9. Vzdelávanie'!$S$47</f>
        <v>0</v>
      </c>
      <c r="P114" s="315">
        <f t="shared" si="148"/>
        <v>502001</v>
      </c>
      <c r="Q114" s="309">
        <f>'[2]9. Vzdelávanie'!$T$47</f>
        <v>502001</v>
      </c>
      <c r="R114" s="309">
        <f>'[2]9. Vzdelávanie'!$U$47</f>
        <v>0</v>
      </c>
      <c r="S114" s="310">
        <f>'[2]9. Vzdelávanie'!$V$47</f>
        <v>0</v>
      </c>
    </row>
    <row r="115" spans="1:19" ht="15.75" x14ac:dyDescent="0.25">
      <c r="A115" s="158"/>
      <c r="B115" s="357" t="s">
        <v>286</v>
      </c>
      <c r="C115" s="346" t="s">
        <v>287</v>
      </c>
      <c r="D115" s="308">
        <f t="shared" ref="D115:G115" si="149">SUM(D116:D117)</f>
        <v>605209.41999999993</v>
      </c>
      <c r="E115" s="307">
        <f t="shared" si="149"/>
        <v>548359</v>
      </c>
      <c r="F115" s="307">
        <f t="shared" si="149"/>
        <v>56850.42</v>
      </c>
      <c r="G115" s="325">
        <f t="shared" si="149"/>
        <v>0</v>
      </c>
      <c r="H115" s="488">
        <f>SUM(H116:H117)</f>
        <v>619921</v>
      </c>
      <c r="I115" s="495">
        <f t="shared" ref="I115:K115" si="150">SUM(I116:I117)</f>
        <v>619921</v>
      </c>
      <c r="J115" s="495">
        <f t="shared" si="150"/>
        <v>0</v>
      </c>
      <c r="K115" s="554">
        <f t="shared" si="150"/>
        <v>0</v>
      </c>
      <c r="L115" s="315">
        <f>SUM(L116:L117)</f>
        <v>770970</v>
      </c>
      <c r="M115" s="309">
        <f t="shared" ref="M115:O115" si="151">SUM(M116:M117)</f>
        <v>687970</v>
      </c>
      <c r="N115" s="309">
        <f t="shared" si="151"/>
        <v>83000</v>
      </c>
      <c r="O115" s="338">
        <f t="shared" si="151"/>
        <v>0</v>
      </c>
      <c r="P115" s="315">
        <f>SUM(P116:P117)</f>
        <v>763912</v>
      </c>
      <c r="Q115" s="309">
        <f t="shared" ref="Q115:S115" si="152">SUM(Q116:Q117)</f>
        <v>687970</v>
      </c>
      <c r="R115" s="309">
        <f t="shared" si="152"/>
        <v>75942</v>
      </c>
      <c r="S115" s="310">
        <f t="shared" si="152"/>
        <v>0</v>
      </c>
    </row>
    <row r="116" spans="1:19" ht="15.75" x14ac:dyDescent="0.25">
      <c r="A116" s="158"/>
      <c r="B116" s="344">
        <v>1</v>
      </c>
      <c r="C116" s="346" t="s">
        <v>288</v>
      </c>
      <c r="D116" s="308">
        <f>SUM(E116:G116)</f>
        <v>440653.42</v>
      </c>
      <c r="E116" s="307">
        <f>'[1]9. Vzdelávanie'!$T$50</f>
        <v>383803</v>
      </c>
      <c r="F116" s="307">
        <f>'[1]9. Vzdelávanie'!$U$50</f>
        <v>56850.42</v>
      </c>
      <c r="G116" s="325">
        <f>'[1]9. Vzdelávanie'!$V$50</f>
        <v>0</v>
      </c>
      <c r="H116" s="488">
        <f>SUM(I116:K116)</f>
        <v>448600</v>
      </c>
      <c r="I116" s="495">
        <f>'[2]9. Vzdelávanie'!$N$51</f>
        <v>448600</v>
      </c>
      <c r="J116" s="495">
        <f>'[2]9. Vzdelávanie'!$O$51</f>
        <v>0</v>
      </c>
      <c r="K116" s="554">
        <f>'[2]9. Vzdelávanie'!$P$51</f>
        <v>0</v>
      </c>
      <c r="L116" s="315">
        <f>SUM(M116:O116)</f>
        <v>490859</v>
      </c>
      <c r="M116" s="309">
        <f>'[2]9. Vzdelávanie'!$Q$51</f>
        <v>490859</v>
      </c>
      <c r="N116" s="309">
        <f>'[2]9. Vzdelávanie'!$R$51</f>
        <v>0</v>
      </c>
      <c r="O116" s="338">
        <f>'[2]9. Vzdelávanie'!$S$51</f>
        <v>0</v>
      </c>
      <c r="P116" s="315">
        <f>SUM(Q116:S116)</f>
        <v>490859</v>
      </c>
      <c r="Q116" s="309">
        <f>'[2]9. Vzdelávanie'!$T$51</f>
        <v>490859</v>
      </c>
      <c r="R116" s="309">
        <f>'[2]9. Vzdelávanie'!$U$51</f>
        <v>0</v>
      </c>
      <c r="S116" s="310">
        <f>'[2]9. Vzdelávanie'!$V$51</f>
        <v>0</v>
      </c>
    </row>
    <row r="117" spans="1:19" ht="15.75" x14ac:dyDescent="0.25">
      <c r="A117" s="158"/>
      <c r="B117" s="344">
        <v>2</v>
      </c>
      <c r="C117" s="346" t="s">
        <v>289</v>
      </c>
      <c r="D117" s="308">
        <f>SUM(E117:G117)</f>
        <v>164556</v>
      </c>
      <c r="E117" s="307">
        <f>'[1]9. Vzdelávanie'!$T$51</f>
        <v>164556</v>
      </c>
      <c r="F117" s="307">
        <f>'[1]9. Vzdelávanie'!$U$51</f>
        <v>0</v>
      </c>
      <c r="G117" s="325">
        <f>'[1]9. Vzdelávanie'!$V$51</f>
        <v>0</v>
      </c>
      <c r="H117" s="488">
        <f t="shared" ref="H117:H120" si="153">SUM(I117:K117)</f>
        <v>171321</v>
      </c>
      <c r="I117" s="495">
        <f>'[2]9. Vzdelávanie'!$N$52</f>
        <v>171321</v>
      </c>
      <c r="J117" s="495">
        <f>'[2]9. Vzdelávanie'!$O$52</f>
        <v>0</v>
      </c>
      <c r="K117" s="554">
        <f>'[2]9. Vzdelávanie'!$P$52</f>
        <v>0</v>
      </c>
      <c r="L117" s="315">
        <f t="shared" ref="L117:L120" si="154">SUM(M117:O117)</f>
        <v>280111</v>
      </c>
      <c r="M117" s="309">
        <f>'[2]9. Vzdelávanie'!$Q$52</f>
        <v>197111</v>
      </c>
      <c r="N117" s="309">
        <f>'[2]9. Vzdelávanie'!$R$52</f>
        <v>83000</v>
      </c>
      <c r="O117" s="338">
        <f>'[2]9. Vzdelávanie'!$S$52</f>
        <v>0</v>
      </c>
      <c r="P117" s="315">
        <f t="shared" ref="P117:P120" si="155">SUM(Q117:S117)</f>
        <v>273053</v>
      </c>
      <c r="Q117" s="309">
        <f>'[2]9. Vzdelávanie'!$T$52</f>
        <v>197111</v>
      </c>
      <c r="R117" s="309">
        <f>'[2]9. Vzdelávanie'!$U$52</f>
        <v>75942</v>
      </c>
      <c r="S117" s="310">
        <f>'[2]9. Vzdelávanie'!$V$52</f>
        <v>0</v>
      </c>
    </row>
    <row r="118" spans="1:19" ht="15.75" x14ac:dyDescent="0.25">
      <c r="A118" s="158"/>
      <c r="B118" s="357" t="s">
        <v>290</v>
      </c>
      <c r="C118" s="346" t="s">
        <v>291</v>
      </c>
      <c r="D118" s="308">
        <f>SUM(E118:G118)</f>
        <v>242934.6</v>
      </c>
      <c r="E118" s="307">
        <f>'[1]9. Vzdelávanie'!$T$52</f>
        <v>242934.6</v>
      </c>
      <c r="F118" s="307">
        <f>'[1]9. Vzdelávanie'!$U$52</f>
        <v>0</v>
      </c>
      <c r="G118" s="325">
        <f>'[1]9. Vzdelávanie'!$V$52</f>
        <v>0</v>
      </c>
      <c r="H118" s="488">
        <f t="shared" si="153"/>
        <v>228525.15000000002</v>
      </c>
      <c r="I118" s="495">
        <f>'[2]9. Vzdelávanie'!$N$53</f>
        <v>228525.15000000002</v>
      </c>
      <c r="J118" s="495">
        <f>'[2]9. Vzdelávanie'!$O$53</f>
        <v>0</v>
      </c>
      <c r="K118" s="554">
        <f>'[2]9. Vzdelávanie'!$P$53</f>
        <v>0</v>
      </c>
      <c r="L118" s="315">
        <f t="shared" si="154"/>
        <v>266404</v>
      </c>
      <c r="M118" s="309">
        <f>'[2]9. Vzdelávanie'!$Q$53</f>
        <v>266404</v>
      </c>
      <c r="N118" s="309">
        <f>'[2]9. Vzdelávanie'!$R$53</f>
        <v>0</v>
      </c>
      <c r="O118" s="338">
        <f>'[2]9. Vzdelávanie'!$S$53</f>
        <v>0</v>
      </c>
      <c r="P118" s="315">
        <f t="shared" si="155"/>
        <v>259846.38999999998</v>
      </c>
      <c r="Q118" s="309">
        <f>'[2]9. Vzdelávanie'!$T$53</f>
        <v>259846.38999999998</v>
      </c>
      <c r="R118" s="309">
        <f>'[2]9. Vzdelávanie'!$U$53</f>
        <v>0</v>
      </c>
      <c r="S118" s="310">
        <f>'[2]9. Vzdelávanie'!$V$53</f>
        <v>0</v>
      </c>
    </row>
    <row r="119" spans="1:19" ht="15.75" x14ac:dyDescent="0.25">
      <c r="A119" s="158"/>
      <c r="B119" s="357" t="s">
        <v>292</v>
      </c>
      <c r="C119" s="346" t="s">
        <v>293</v>
      </c>
      <c r="D119" s="308">
        <f>SUM(E119:G119)</f>
        <v>354297.13999999996</v>
      </c>
      <c r="E119" s="307">
        <f>'[1]9. Vzdelávanie'!$T$69</f>
        <v>348827.22</v>
      </c>
      <c r="F119" s="307">
        <f>'[1]9. Vzdelávanie'!$U$69</f>
        <v>5469.92</v>
      </c>
      <c r="G119" s="325">
        <f>'[1]9. Vzdelávanie'!$V$69</f>
        <v>0</v>
      </c>
      <c r="H119" s="488">
        <f t="shared" si="153"/>
        <v>354247.7</v>
      </c>
      <c r="I119" s="495">
        <f>'[2]9. Vzdelávanie'!$N$70</f>
        <v>354247.7</v>
      </c>
      <c r="J119" s="495">
        <f>'[2]9. Vzdelávanie'!$O$70</f>
        <v>0</v>
      </c>
      <c r="K119" s="554">
        <f>'[2]9. Vzdelávanie'!$P$70</f>
        <v>0</v>
      </c>
      <c r="L119" s="315">
        <f t="shared" si="154"/>
        <v>451590</v>
      </c>
      <c r="M119" s="309">
        <f>'[2]9. Vzdelávanie'!$Q$70</f>
        <v>451590</v>
      </c>
      <c r="N119" s="309">
        <f>'[2]9. Vzdelávanie'!$R$70</f>
        <v>0</v>
      </c>
      <c r="O119" s="338">
        <f>'[2]9. Vzdelávanie'!$S$70</f>
        <v>0</v>
      </c>
      <c r="P119" s="315">
        <f t="shared" si="155"/>
        <v>401455.82</v>
      </c>
      <c r="Q119" s="309">
        <f>'[2]9. Vzdelávanie'!$T$70</f>
        <v>401455.82</v>
      </c>
      <c r="R119" s="309">
        <f>'[2]9. Vzdelávanie'!$U$70</f>
        <v>0</v>
      </c>
      <c r="S119" s="310">
        <f>'[2]9. Vzdelávanie'!$V$70</f>
        <v>0</v>
      </c>
    </row>
    <row r="120" spans="1:19" ht="15.75" x14ac:dyDescent="0.25">
      <c r="A120" s="158"/>
      <c r="B120" s="546" t="s">
        <v>294</v>
      </c>
      <c r="C120" s="547" t="s">
        <v>427</v>
      </c>
      <c r="D120" s="548">
        <f>SUM(E120:G120)</f>
        <v>8224.7199999999993</v>
      </c>
      <c r="E120" s="549">
        <f>'[1]9. Vzdelávanie'!$T$70</f>
        <v>64.72</v>
      </c>
      <c r="F120" s="549">
        <f>'[1]9. Vzdelávanie'!$U$70</f>
        <v>8160</v>
      </c>
      <c r="G120" s="550">
        <f>'[1]9. Vzdelávanie'!$V$70</f>
        <v>0</v>
      </c>
      <c r="H120" s="551">
        <f t="shared" si="153"/>
        <v>3000</v>
      </c>
      <c r="I120" s="552">
        <f>'[2]9. Vzdelávanie'!$N$71</f>
        <v>3000</v>
      </c>
      <c r="J120" s="552">
        <f>'[2]9. Vzdelávanie'!$O$71</f>
        <v>0</v>
      </c>
      <c r="K120" s="555">
        <f>'[2]9. Vzdelávanie'!$P$71</f>
        <v>0</v>
      </c>
      <c r="L120" s="315">
        <f t="shared" si="154"/>
        <v>65154</v>
      </c>
      <c r="M120" s="309">
        <f>'[2]9. Vzdelávanie'!$Q$71</f>
        <v>65154</v>
      </c>
      <c r="N120" s="309">
        <f>'[2]9. Vzdelávanie'!$R$71</f>
        <v>0</v>
      </c>
      <c r="O120" s="338">
        <f>'[2]9. Vzdelávanie'!$S$71</f>
        <v>0</v>
      </c>
      <c r="P120" s="315">
        <f t="shared" si="155"/>
        <v>3068.18</v>
      </c>
      <c r="Q120" s="309">
        <f>'[2]9. Vzdelávanie'!$T$71</f>
        <v>3068.18</v>
      </c>
      <c r="R120" s="309">
        <f>'[2]9. Vzdelávanie'!$U$71</f>
        <v>0</v>
      </c>
      <c r="S120" s="310">
        <f>'[2]9. Vzdelávanie'!$V$71</f>
        <v>0</v>
      </c>
    </row>
    <row r="121" spans="1:19" ht="16.5" thickBot="1" x14ac:dyDescent="0.3">
      <c r="A121" s="158"/>
      <c r="B121" s="539" t="s">
        <v>575</v>
      </c>
      <c r="C121" s="503" t="s">
        <v>576</v>
      </c>
      <c r="D121" s="541"/>
      <c r="E121" s="542"/>
      <c r="F121" s="542"/>
      <c r="G121" s="543"/>
      <c r="H121" s="540"/>
      <c r="I121" s="544"/>
      <c r="J121" s="544"/>
      <c r="K121" s="545"/>
      <c r="L121" s="556">
        <f>SUM(M121:O121)</f>
        <v>534428</v>
      </c>
      <c r="M121" s="557">
        <f>'[2]9. Vzdelávanie'!$Q$78</f>
        <v>534428</v>
      </c>
      <c r="N121" s="557">
        <f>'[2]9. Vzdelávanie'!$R$78</f>
        <v>0</v>
      </c>
      <c r="O121" s="635">
        <f>'[2]9. Vzdelávanie'!$S$78</f>
        <v>0</v>
      </c>
      <c r="P121" s="556">
        <f>SUM(Q121:S121)</f>
        <v>461499.01</v>
      </c>
      <c r="Q121" s="557">
        <f>'[2]9. Vzdelávanie'!$T$78</f>
        <v>461499.01</v>
      </c>
      <c r="R121" s="557">
        <f>'[2]9. Vzdelávanie'!$U$78</f>
        <v>0</v>
      </c>
      <c r="S121" s="558">
        <f>'[2]9. Vzdelávanie'!$V$78</f>
        <v>0</v>
      </c>
    </row>
    <row r="122" spans="1:19" s="157" customFormat="1" ht="15.75" x14ac:dyDescent="0.25">
      <c r="A122" s="159"/>
      <c r="B122" s="349" t="s">
        <v>296</v>
      </c>
      <c r="C122" s="361"/>
      <c r="D122" s="316">
        <f t="shared" ref="D122:G122" si="156">D123+D124+D132</f>
        <v>365458.97000000003</v>
      </c>
      <c r="E122" s="447">
        <f t="shared" si="156"/>
        <v>310928.96999999997</v>
      </c>
      <c r="F122" s="447">
        <f t="shared" si="156"/>
        <v>54530</v>
      </c>
      <c r="G122" s="378">
        <f t="shared" si="156"/>
        <v>0</v>
      </c>
      <c r="H122" s="332">
        <f>H123+H124+H132</f>
        <v>613408.83000000007</v>
      </c>
      <c r="I122" s="333">
        <f t="shared" ref="I122:K122" si="157">I123+I124+I132</f>
        <v>289403.61</v>
      </c>
      <c r="J122" s="333">
        <f t="shared" si="157"/>
        <v>324005.22000000003</v>
      </c>
      <c r="K122" s="334">
        <f t="shared" si="157"/>
        <v>0</v>
      </c>
      <c r="L122" s="332">
        <f>L123+L124+L132</f>
        <v>458852</v>
      </c>
      <c r="M122" s="333">
        <f t="shared" ref="M122:O122" si="158">M123+M124+M132</f>
        <v>430067</v>
      </c>
      <c r="N122" s="333">
        <f t="shared" si="158"/>
        <v>28785</v>
      </c>
      <c r="O122" s="434">
        <f t="shared" si="158"/>
        <v>0</v>
      </c>
      <c r="P122" s="332">
        <f>P123+P124+P132</f>
        <v>406741.18</v>
      </c>
      <c r="Q122" s="333">
        <f t="shared" ref="Q122:S122" si="159">Q123+Q124+Q132</f>
        <v>379253.18</v>
      </c>
      <c r="R122" s="333">
        <f t="shared" si="159"/>
        <v>27488</v>
      </c>
      <c r="S122" s="334">
        <f t="shared" si="159"/>
        <v>0</v>
      </c>
    </row>
    <row r="123" spans="1:19" ht="15.75" x14ac:dyDescent="0.25">
      <c r="A123" s="155"/>
      <c r="B123" s="357" t="s">
        <v>297</v>
      </c>
      <c r="C123" s="346" t="s">
        <v>298</v>
      </c>
      <c r="D123" s="317">
        <f>SUM(E123:G123)</f>
        <v>12056</v>
      </c>
      <c r="E123" s="307">
        <f>'[1]10. Šport'!$T$4</f>
        <v>12056</v>
      </c>
      <c r="F123" s="307">
        <f>'[1]10. Šport'!$U$4</f>
        <v>0</v>
      </c>
      <c r="G123" s="325">
        <f>'[1]10. Šport'!$V$4</f>
        <v>0</v>
      </c>
      <c r="H123" s="315">
        <f>SUM(I123:K123)</f>
        <v>4684.4799999999996</v>
      </c>
      <c r="I123" s="309">
        <f>'[2]10. Šport'!$N$4</f>
        <v>4684.4799999999996</v>
      </c>
      <c r="J123" s="309">
        <f>'[2]10. Šport'!$O$4</f>
        <v>0</v>
      </c>
      <c r="K123" s="310">
        <f>'[2]10. Šport'!$P$4</f>
        <v>0</v>
      </c>
      <c r="L123" s="315">
        <f>SUM(M123:O123)</f>
        <v>16650</v>
      </c>
      <c r="M123" s="309">
        <f>'[2]10. Šport'!$Q$4</f>
        <v>16650</v>
      </c>
      <c r="N123" s="309">
        <f>'[2]10. Šport'!$R$4</f>
        <v>0</v>
      </c>
      <c r="O123" s="338">
        <f>'[2]10. Šport'!$S$4</f>
        <v>0</v>
      </c>
      <c r="P123" s="315">
        <f>SUM(Q123:S123)</f>
        <v>16618.190000000002</v>
      </c>
      <c r="Q123" s="309">
        <f>'[2]10. Šport'!$T$4</f>
        <v>16618.190000000002</v>
      </c>
      <c r="R123" s="309">
        <f>'[2]10. Šport'!$U$4</f>
        <v>0</v>
      </c>
      <c r="S123" s="310">
        <f>'[2]10. Šport'!$V$4</f>
        <v>0</v>
      </c>
    </row>
    <row r="124" spans="1:19" ht="15.75" x14ac:dyDescent="0.25">
      <c r="A124" s="155"/>
      <c r="B124" s="357" t="s">
        <v>299</v>
      </c>
      <c r="C124" s="346" t="s">
        <v>300</v>
      </c>
      <c r="D124" s="317">
        <f t="shared" ref="D124:G124" si="160">SUM(D125:D130)</f>
        <v>265152.97000000003</v>
      </c>
      <c r="E124" s="307">
        <f t="shared" si="160"/>
        <v>210622.97</v>
      </c>
      <c r="F124" s="307">
        <f t="shared" si="160"/>
        <v>54530</v>
      </c>
      <c r="G124" s="325">
        <f t="shared" si="160"/>
        <v>0</v>
      </c>
      <c r="H124" s="315">
        <f>SUM(H125:H130)</f>
        <v>553924.35000000009</v>
      </c>
      <c r="I124" s="309">
        <f>SUM(I125:I130)</f>
        <v>229919.13</v>
      </c>
      <c r="J124" s="309">
        <f>SUM(J125:J130)</f>
        <v>324005.22000000003</v>
      </c>
      <c r="K124" s="310">
        <f>SUM(K125:K130)</f>
        <v>0</v>
      </c>
      <c r="L124" s="315">
        <f t="shared" ref="L124:S124" si="161">SUM(L125:L131)</f>
        <v>382202</v>
      </c>
      <c r="M124" s="309">
        <f t="shared" si="161"/>
        <v>353417</v>
      </c>
      <c r="N124" s="309">
        <f t="shared" si="161"/>
        <v>28785</v>
      </c>
      <c r="O124" s="338">
        <f t="shared" si="161"/>
        <v>0</v>
      </c>
      <c r="P124" s="315">
        <f>SUM(P125:P131)</f>
        <v>330123.03999999998</v>
      </c>
      <c r="Q124" s="309">
        <f t="shared" si="161"/>
        <v>302635.03999999998</v>
      </c>
      <c r="R124" s="309">
        <f t="shared" si="161"/>
        <v>27488</v>
      </c>
      <c r="S124" s="310">
        <f t="shared" si="161"/>
        <v>0</v>
      </c>
    </row>
    <row r="125" spans="1:19" ht="15.75" x14ac:dyDescent="0.25">
      <c r="A125" s="155"/>
      <c r="B125" s="344">
        <v>1</v>
      </c>
      <c r="C125" s="346" t="s">
        <v>301</v>
      </c>
      <c r="D125" s="317">
        <f t="shared" ref="D125:D130" si="162">SUM(E125:G125)</f>
        <v>40655.54</v>
      </c>
      <c r="E125" s="307">
        <f>'[1]10. Šport'!$T$10</f>
        <v>40655.54</v>
      </c>
      <c r="F125" s="307">
        <f>'[1]10. Šport'!$U$10</f>
        <v>0</v>
      </c>
      <c r="G125" s="325">
        <f>'[1]10. Šport'!$V$10</f>
        <v>0</v>
      </c>
      <c r="H125" s="315">
        <f>SUM(I125:K125)</f>
        <v>38628.360000000008</v>
      </c>
      <c r="I125" s="309">
        <f>'[2]10. Šport'!$N$12</f>
        <v>38628.360000000008</v>
      </c>
      <c r="J125" s="309">
        <f>'[2]10. Šport'!$O$12</f>
        <v>0</v>
      </c>
      <c r="K125" s="310">
        <f>'[2]10. Šport'!$P$12</f>
        <v>0</v>
      </c>
      <c r="L125" s="315">
        <f>SUM(M125:O125)</f>
        <v>73185</v>
      </c>
      <c r="M125" s="309">
        <f>'[2]10. Šport'!$Q$12</f>
        <v>56900</v>
      </c>
      <c r="N125" s="309">
        <f>'[2]10. Šport'!$R$12</f>
        <v>16285</v>
      </c>
      <c r="O125" s="338">
        <f>'[2]10. Šport'!$S$12</f>
        <v>0</v>
      </c>
      <c r="P125" s="315">
        <f>SUM(Q125:S125)</f>
        <v>57142.86</v>
      </c>
      <c r="Q125" s="309">
        <f>'[2]10. Šport'!$T$12</f>
        <v>42142.86</v>
      </c>
      <c r="R125" s="309">
        <f>'[2]10. Šport'!$U$12</f>
        <v>15000</v>
      </c>
      <c r="S125" s="310">
        <f>'[2]10. Šport'!$V$12</f>
        <v>0</v>
      </c>
    </row>
    <row r="126" spans="1:19" ht="15.75" x14ac:dyDescent="0.25">
      <c r="A126" s="155"/>
      <c r="B126" s="344">
        <v>2</v>
      </c>
      <c r="C126" s="346" t="s">
        <v>302</v>
      </c>
      <c r="D126" s="317">
        <f t="shared" si="162"/>
        <v>100109.76000000001</v>
      </c>
      <c r="E126" s="307">
        <f>'[1]10. Šport'!$T$27</f>
        <v>45579.76</v>
      </c>
      <c r="F126" s="307">
        <f>'[1]10. Šport'!$U$27</f>
        <v>54530</v>
      </c>
      <c r="G126" s="325">
        <f>'[1]10. Šport'!$V$27</f>
        <v>0</v>
      </c>
      <c r="H126" s="315">
        <f>SUM(I126:K126)</f>
        <v>62705.240000000005</v>
      </c>
      <c r="I126" s="309">
        <f>'[2]10. Šport'!$N$30</f>
        <v>39572.840000000004</v>
      </c>
      <c r="J126" s="309">
        <f>'[2]10. Šport'!$O$30</f>
        <v>23132.400000000001</v>
      </c>
      <c r="K126" s="310">
        <f>'[2]10. Šport'!$P$30</f>
        <v>0</v>
      </c>
      <c r="L126" s="315">
        <f t="shared" ref="L126:L132" si="163">SUM(M126:O126)</f>
        <v>70745</v>
      </c>
      <c r="M126" s="309">
        <f>'[2]10. Šport'!$Q$30</f>
        <v>58245</v>
      </c>
      <c r="N126" s="309">
        <f>'[2]10. Šport'!$R$30</f>
        <v>12500</v>
      </c>
      <c r="O126" s="338">
        <f>'[2]10. Šport'!$S$30</f>
        <v>0</v>
      </c>
      <c r="P126" s="315">
        <f t="shared" ref="P126:P132" si="164">SUM(Q126:S126)</f>
        <v>62772.31</v>
      </c>
      <c r="Q126" s="309">
        <f>'[2]10. Šport'!$T$30</f>
        <v>50284.31</v>
      </c>
      <c r="R126" s="309">
        <f>'[2]10. Šport'!$U$30</f>
        <v>12488</v>
      </c>
      <c r="S126" s="310">
        <f>'[2]10. Šport'!$V$30</f>
        <v>0</v>
      </c>
    </row>
    <row r="127" spans="1:19" ht="15.75" x14ac:dyDescent="0.25">
      <c r="A127" s="155"/>
      <c r="B127" s="344">
        <v>3</v>
      </c>
      <c r="C127" s="346" t="s">
        <v>303</v>
      </c>
      <c r="D127" s="317">
        <f t="shared" si="162"/>
        <v>15938.67</v>
      </c>
      <c r="E127" s="307">
        <f>'[1]10. Šport'!$T$38</f>
        <v>15938.67</v>
      </c>
      <c r="F127" s="307">
        <f>'[1]10. Šport'!$U$38</f>
        <v>0</v>
      </c>
      <c r="G127" s="325">
        <f>'[1]10. Šport'!$V$38</f>
        <v>0</v>
      </c>
      <c r="H127" s="315">
        <f>SUM(I127:K127)</f>
        <v>51711.19</v>
      </c>
      <c r="I127" s="309">
        <f>'[2]10. Šport'!$N$47</f>
        <v>16311.189999999999</v>
      </c>
      <c r="J127" s="309">
        <f>'[2]10. Šport'!$O$47</f>
        <v>35400</v>
      </c>
      <c r="K127" s="310">
        <f>'[2]10. Šport'!$P$47</f>
        <v>0</v>
      </c>
      <c r="L127" s="315">
        <f t="shared" si="163"/>
        <v>21460</v>
      </c>
      <c r="M127" s="309">
        <f>'[2]10. Šport'!$Q$47</f>
        <v>21460</v>
      </c>
      <c r="N127" s="309">
        <f>'[2]10. Šport'!$R$47</f>
        <v>0</v>
      </c>
      <c r="O127" s="338">
        <f>'[2]10. Šport'!$S$47</f>
        <v>0</v>
      </c>
      <c r="P127" s="315">
        <f t="shared" si="164"/>
        <v>18887.89</v>
      </c>
      <c r="Q127" s="309">
        <f>'[2]10. Šport'!$T$47</f>
        <v>18887.89</v>
      </c>
      <c r="R127" s="309">
        <f>'[2]10. Šport'!$U$47</f>
        <v>0</v>
      </c>
      <c r="S127" s="310">
        <f>'[2]10. Šport'!$V$47</f>
        <v>0</v>
      </c>
    </row>
    <row r="128" spans="1:19" ht="15.75" x14ac:dyDescent="0.25">
      <c r="A128" s="155"/>
      <c r="B128" s="344">
        <v>4</v>
      </c>
      <c r="C128" s="346" t="s">
        <v>304</v>
      </c>
      <c r="D128" s="317">
        <f t="shared" si="162"/>
        <v>104386.53</v>
      </c>
      <c r="E128" s="307">
        <f>'[1]10. Šport'!$T$46</f>
        <v>104386.53</v>
      </c>
      <c r="F128" s="307">
        <f>'[1]10. Šport'!$U$46</f>
        <v>0</v>
      </c>
      <c r="G128" s="325">
        <f>'[1]10. Šport'!$V$46</f>
        <v>0</v>
      </c>
      <c r="H128" s="315">
        <f t="shared" ref="H128:H132" si="165">SUM(I128:K128)</f>
        <v>392754.87</v>
      </c>
      <c r="I128" s="309">
        <f>'[2]10. Šport'!$N$57</f>
        <v>127282.05</v>
      </c>
      <c r="J128" s="309">
        <f>'[2]10. Šport'!$O$57</f>
        <v>265472.82</v>
      </c>
      <c r="K128" s="310">
        <f>'[2]10. Šport'!$P$57</f>
        <v>0</v>
      </c>
      <c r="L128" s="315">
        <f t="shared" si="163"/>
        <v>174292</v>
      </c>
      <c r="M128" s="309">
        <f>'[2]10. Šport'!$Q$57</f>
        <v>174292</v>
      </c>
      <c r="N128" s="309">
        <f>'[2]10. Šport'!$R$57</f>
        <v>0</v>
      </c>
      <c r="O128" s="338">
        <f>'[2]10. Šport'!$S$57</f>
        <v>0</v>
      </c>
      <c r="P128" s="315">
        <f t="shared" si="164"/>
        <v>174077.45</v>
      </c>
      <c r="Q128" s="309">
        <f>'[2]10. Šport'!$T$57</f>
        <v>174077.45</v>
      </c>
      <c r="R128" s="309">
        <f>'[2]10. Šport'!$U$57</f>
        <v>0</v>
      </c>
      <c r="S128" s="310">
        <f>'[2]10. Šport'!$V$57</f>
        <v>0</v>
      </c>
    </row>
    <row r="129" spans="1:19" ht="15.75" x14ac:dyDescent="0.25">
      <c r="A129" s="155"/>
      <c r="B129" s="344">
        <v>5</v>
      </c>
      <c r="C129" s="346" t="s">
        <v>305</v>
      </c>
      <c r="D129" s="317">
        <f t="shared" si="162"/>
        <v>3188.62</v>
      </c>
      <c r="E129" s="307">
        <f>'[1]10. Šport'!$T$60</f>
        <v>3188.62</v>
      </c>
      <c r="F129" s="307">
        <f>'[1]10. Šport'!$U$60</f>
        <v>0</v>
      </c>
      <c r="G129" s="325">
        <f>'[1]10. Šport'!$V$60</f>
        <v>0</v>
      </c>
      <c r="H129" s="315">
        <f t="shared" si="165"/>
        <v>7639.5599999999995</v>
      </c>
      <c r="I129" s="309">
        <f>'[2]10. Šport'!$N$76</f>
        <v>7639.5599999999995</v>
      </c>
      <c r="J129" s="309">
        <f>'[2]10. Šport'!$O$76</f>
        <v>0</v>
      </c>
      <c r="K129" s="310">
        <f>'[2]10. Šport'!$P$76</f>
        <v>0</v>
      </c>
      <c r="L129" s="315">
        <f t="shared" si="163"/>
        <v>10750</v>
      </c>
      <c r="M129" s="309">
        <f>'[2]10. Šport'!$Q$76</f>
        <v>10750</v>
      </c>
      <c r="N129" s="309">
        <f>'[2]10. Šport'!$R$76</f>
        <v>0</v>
      </c>
      <c r="O129" s="338">
        <f>'[2]10. Šport'!$S$76</f>
        <v>0</v>
      </c>
      <c r="P129" s="315">
        <f t="shared" si="164"/>
        <v>10117.540000000001</v>
      </c>
      <c r="Q129" s="309">
        <f>'[2]10. Šport'!$T$76</f>
        <v>10117.540000000001</v>
      </c>
      <c r="R129" s="309">
        <f>'[2]10. Šport'!$U$76</f>
        <v>0</v>
      </c>
      <c r="S129" s="310">
        <f>'[2]10. Šport'!$V$76</f>
        <v>0</v>
      </c>
    </row>
    <row r="130" spans="1:19" ht="15.75" x14ac:dyDescent="0.25">
      <c r="A130" s="155"/>
      <c r="B130" s="362">
        <v>6</v>
      </c>
      <c r="C130" s="363" t="s">
        <v>387</v>
      </c>
      <c r="D130" s="317">
        <f t="shared" si="162"/>
        <v>873.85</v>
      </c>
      <c r="E130" s="311">
        <f>'[1]10. Šport'!$T$67</f>
        <v>873.85</v>
      </c>
      <c r="F130" s="311">
        <f>'[1]10. Šport'!$U$67</f>
        <v>0</v>
      </c>
      <c r="G130" s="327">
        <f>'[1]10. Šport'!$V$67</f>
        <v>0</v>
      </c>
      <c r="H130" s="315">
        <f t="shared" si="165"/>
        <v>485.13</v>
      </c>
      <c r="I130" s="309">
        <f>'[2]10. Šport'!$N$83</f>
        <v>485.13</v>
      </c>
      <c r="J130" s="309">
        <f>'[2]10. Šport'!$O$83</f>
        <v>0</v>
      </c>
      <c r="K130" s="310">
        <f>'[2]10. Šport'!$P$83</f>
        <v>0</v>
      </c>
      <c r="L130" s="315">
        <f>SUM(M130:O130)</f>
        <v>1320</v>
      </c>
      <c r="M130" s="309">
        <f>'[2]10. Šport'!$Q$83</f>
        <v>1320</v>
      </c>
      <c r="N130" s="309">
        <f>'[2]10. Šport'!$R$83</f>
        <v>0</v>
      </c>
      <c r="O130" s="338">
        <f>'[2]10. Šport'!$S$83</f>
        <v>0</v>
      </c>
      <c r="P130" s="315">
        <f>SUM(Q130:S130)</f>
        <v>296.99</v>
      </c>
      <c r="Q130" s="309">
        <f>'[2]10. Šport'!$T$83</f>
        <v>296.99</v>
      </c>
      <c r="R130" s="309">
        <f>'[2]10. Šport'!$U$83</f>
        <v>0</v>
      </c>
      <c r="S130" s="310">
        <f>'[2]10. Šport'!$V$83</f>
        <v>0</v>
      </c>
    </row>
    <row r="131" spans="1:19" ht="15.75" x14ac:dyDescent="0.25">
      <c r="A131" s="155"/>
      <c r="B131" s="362">
        <v>7</v>
      </c>
      <c r="C131" s="363" t="s">
        <v>563</v>
      </c>
      <c r="D131" s="538"/>
      <c r="E131" s="311"/>
      <c r="F131" s="311"/>
      <c r="G131" s="327"/>
      <c r="H131" s="336"/>
      <c r="I131" s="337"/>
      <c r="J131" s="337"/>
      <c r="K131" s="379"/>
      <c r="L131" s="315">
        <f>SUM(M131:O131)</f>
        <v>30450</v>
      </c>
      <c r="M131" s="309">
        <f>'[2]10. Šport'!$Q$88</f>
        <v>30450</v>
      </c>
      <c r="N131" s="309">
        <f>'[2]10. Šport'!$R$88</f>
        <v>0</v>
      </c>
      <c r="O131" s="338">
        <f>'[2]10. Šport'!$S$88</f>
        <v>0</v>
      </c>
      <c r="P131" s="315">
        <f>SUM(Q131:S131)</f>
        <v>6828</v>
      </c>
      <c r="Q131" s="309">
        <f>'[2]10. Šport'!$T$88</f>
        <v>6828</v>
      </c>
      <c r="R131" s="309">
        <f>'[2]10. Šport'!$U$88</f>
        <v>0</v>
      </c>
      <c r="S131" s="310">
        <f>'[2]10. Šport'!$V$88</f>
        <v>0</v>
      </c>
    </row>
    <row r="132" spans="1:19" ht="16.5" thickBot="1" x14ac:dyDescent="0.3">
      <c r="A132" s="155"/>
      <c r="B132" s="352" t="s">
        <v>306</v>
      </c>
      <c r="C132" s="348" t="s">
        <v>307</v>
      </c>
      <c r="D132" s="448">
        <f>SUM(E132:G132)</f>
        <v>88250</v>
      </c>
      <c r="E132" s="449">
        <f>'[1]10. Šport'!$T$72</f>
        <v>88250</v>
      </c>
      <c r="F132" s="449">
        <f>'[1]10. Šport'!$U$72</f>
        <v>0</v>
      </c>
      <c r="G132" s="475">
        <f>'[1]10. Šport'!$V$72</f>
        <v>0</v>
      </c>
      <c r="H132" s="328">
        <f t="shared" si="165"/>
        <v>54800</v>
      </c>
      <c r="I132" s="329">
        <f>'[2]10. Šport'!$N$95</f>
        <v>54800</v>
      </c>
      <c r="J132" s="329">
        <f>'[2]10. Šport'!$O$95</f>
        <v>0</v>
      </c>
      <c r="K132" s="330">
        <f>'[2]10. Šport'!$P$95</f>
        <v>0</v>
      </c>
      <c r="L132" s="336">
        <f t="shared" si="163"/>
        <v>60000</v>
      </c>
      <c r="M132" s="337">
        <f>'[2]10. Šport'!$Q$95</f>
        <v>60000</v>
      </c>
      <c r="N132" s="337">
        <f>'[2]10. Šport'!$R$95</f>
        <v>0</v>
      </c>
      <c r="O132" s="501">
        <f>'[2]10. Šport'!$S$95</f>
        <v>0</v>
      </c>
      <c r="P132" s="336">
        <f t="shared" si="164"/>
        <v>59999.95</v>
      </c>
      <c r="Q132" s="337">
        <f>'[2]10. Šport'!$T$95</f>
        <v>59999.95</v>
      </c>
      <c r="R132" s="337">
        <f>'[2]10. Šport'!$U$95</f>
        <v>0</v>
      </c>
      <c r="S132" s="379">
        <f>'[2]10. Šport'!$V$95</f>
        <v>0</v>
      </c>
    </row>
    <row r="133" spans="1:19" s="157" customFormat="1" ht="15.75" x14ac:dyDescent="0.25">
      <c r="B133" s="349" t="s">
        <v>308</v>
      </c>
      <c r="C133" s="361"/>
      <c r="D133" s="376">
        <f>D134+D135+D141+D140</f>
        <v>683090.10999999987</v>
      </c>
      <c r="E133" s="377">
        <f>E134+E135+E140+E141</f>
        <v>663120.90999999992</v>
      </c>
      <c r="F133" s="377">
        <f>F134+F135+F140+F141</f>
        <v>19969.2</v>
      </c>
      <c r="G133" s="478">
        <f>G134+G135+G140+G141</f>
        <v>0</v>
      </c>
      <c r="H133" s="487">
        <f>H134+H135+H140+H141</f>
        <v>708210.42</v>
      </c>
      <c r="I133" s="494">
        <f t="shared" ref="I133:K133" si="166">I134+I135+I140+I141</f>
        <v>704319.18</v>
      </c>
      <c r="J133" s="494">
        <f t="shared" si="166"/>
        <v>3891.24</v>
      </c>
      <c r="K133" s="472">
        <f t="shared" si="166"/>
        <v>0</v>
      </c>
      <c r="L133" s="332">
        <f>L134+L135+L140+L141</f>
        <v>993491</v>
      </c>
      <c r="M133" s="333">
        <f t="shared" ref="M133:O133" si="167">M134+M135+M140+M141</f>
        <v>813491</v>
      </c>
      <c r="N133" s="333">
        <f t="shared" si="167"/>
        <v>180000</v>
      </c>
      <c r="O133" s="434">
        <f t="shared" si="167"/>
        <v>0</v>
      </c>
      <c r="P133" s="332">
        <f>P134+P135+P140+P141</f>
        <v>965144.91</v>
      </c>
      <c r="Q133" s="333">
        <f t="shared" ref="Q133:S133" si="168">Q134+Q135+Q140+Q141</f>
        <v>786699.44000000006</v>
      </c>
      <c r="R133" s="333">
        <f t="shared" si="168"/>
        <v>178445.47</v>
      </c>
      <c r="S133" s="334">
        <f t="shared" si="168"/>
        <v>0</v>
      </c>
    </row>
    <row r="134" spans="1:19" ht="15.75" x14ac:dyDescent="0.25">
      <c r="A134" s="155"/>
      <c r="B134" s="357" t="s">
        <v>309</v>
      </c>
      <c r="C134" s="346" t="s">
        <v>310</v>
      </c>
      <c r="D134" s="308">
        <f>SUM(E134:G134)</f>
        <v>8325.2000000000007</v>
      </c>
      <c r="E134" s="307">
        <f>'[1]11. Kultúra'!$T$4</f>
        <v>8325.2000000000007</v>
      </c>
      <c r="F134" s="307">
        <f>'[1]11. Kultúra'!$U$4</f>
        <v>0</v>
      </c>
      <c r="G134" s="325">
        <f>'[1]11. Kultúra'!$V$4</f>
        <v>0</v>
      </c>
      <c r="H134" s="488">
        <f>SUM(I134:K134)</f>
        <v>12590.36</v>
      </c>
      <c r="I134" s="495">
        <f>'[2]11. Kultúra'!$N$4</f>
        <v>12590.36</v>
      </c>
      <c r="J134" s="495">
        <f>'[2]11. Kultúra'!$O$4</f>
        <v>0</v>
      </c>
      <c r="K134" s="450">
        <f>'[2]11. Kultúra'!$P$4</f>
        <v>0</v>
      </c>
      <c r="L134" s="315">
        <f>SUM(M134:O134)</f>
        <v>16155</v>
      </c>
      <c r="M134" s="309">
        <f>'[2]11. Kultúra'!$Q$4</f>
        <v>16155</v>
      </c>
      <c r="N134" s="309">
        <f>'[2]11. Kultúra'!$R$4</f>
        <v>0</v>
      </c>
      <c r="O134" s="338">
        <f>'[2]11. Kultúra'!$S$4</f>
        <v>0</v>
      </c>
      <c r="P134" s="315">
        <f>SUM(Q134:S134)</f>
        <v>15625.56</v>
      </c>
      <c r="Q134" s="309">
        <f>'[2]11. Kultúra'!$T$4</f>
        <v>15625.56</v>
      </c>
      <c r="R134" s="309">
        <f>'[2]11. Kultúra'!$U$4</f>
        <v>0</v>
      </c>
      <c r="S134" s="310">
        <f>'[2]11. Kultúra'!$V$4</f>
        <v>0</v>
      </c>
    </row>
    <row r="135" spans="1:19" ht="15.75" x14ac:dyDescent="0.25">
      <c r="A135" s="155"/>
      <c r="B135" s="357" t="s">
        <v>311</v>
      </c>
      <c r="C135" s="346" t="s">
        <v>312</v>
      </c>
      <c r="D135" s="308">
        <f t="shared" ref="D135:G135" si="169">SUM(D136:D139)</f>
        <v>663807.90999999992</v>
      </c>
      <c r="E135" s="307">
        <f t="shared" si="169"/>
        <v>643838.71</v>
      </c>
      <c r="F135" s="307">
        <f t="shared" si="169"/>
        <v>19969.2</v>
      </c>
      <c r="G135" s="325">
        <f t="shared" si="169"/>
        <v>0</v>
      </c>
      <c r="H135" s="488">
        <f>SUM(H136:H139)</f>
        <v>690200.06</v>
      </c>
      <c r="I135" s="495">
        <f t="shared" ref="I135:K135" si="170">SUM(I136:I139)</f>
        <v>686308.82000000007</v>
      </c>
      <c r="J135" s="495">
        <f t="shared" si="170"/>
        <v>3891.24</v>
      </c>
      <c r="K135" s="450">
        <f t="shared" si="170"/>
        <v>0</v>
      </c>
      <c r="L135" s="315">
        <f>SUM(L136:L139)</f>
        <v>964836</v>
      </c>
      <c r="M135" s="309">
        <f t="shared" ref="M135:O135" si="171">SUM(M136:M139)</f>
        <v>784836</v>
      </c>
      <c r="N135" s="309">
        <f t="shared" si="171"/>
        <v>180000</v>
      </c>
      <c r="O135" s="338">
        <f t="shared" si="171"/>
        <v>0</v>
      </c>
      <c r="P135" s="315">
        <f>SUM(P136:P139)</f>
        <v>939819.35</v>
      </c>
      <c r="Q135" s="309">
        <f t="shared" ref="Q135:S135" si="172">SUM(Q136:Q139)</f>
        <v>761373.88</v>
      </c>
      <c r="R135" s="309">
        <f t="shared" si="172"/>
        <v>178445.47</v>
      </c>
      <c r="S135" s="310">
        <f t="shared" si="172"/>
        <v>0</v>
      </c>
    </row>
    <row r="136" spans="1:19" ht="15.75" x14ac:dyDescent="0.25">
      <c r="A136" s="155"/>
      <c r="B136" s="344">
        <v>1</v>
      </c>
      <c r="C136" s="346" t="s">
        <v>313</v>
      </c>
      <c r="D136" s="308">
        <f t="shared" ref="D136:D141" si="173">SUM(E136:G136)</f>
        <v>128921.63</v>
      </c>
      <c r="E136" s="307">
        <f>'[1]11. Kultúra'!$T$16</f>
        <v>128921.63</v>
      </c>
      <c r="F136" s="307">
        <f>'[1]11. Kultúra'!$U$16</f>
        <v>0</v>
      </c>
      <c r="G136" s="325">
        <f>'[1]11. Kultúra'!$V$16</f>
        <v>0</v>
      </c>
      <c r="H136" s="488">
        <f>SUM(I136:K136)</f>
        <v>139313.45000000001</v>
      </c>
      <c r="I136" s="495">
        <f>'[2]11. Kultúra'!$N$18</f>
        <v>139313.45000000001</v>
      </c>
      <c r="J136" s="495">
        <f>'[2]11. Kultúra'!$O$18</f>
        <v>0</v>
      </c>
      <c r="K136" s="450">
        <f>'[2]11. Kultúra'!$P$18</f>
        <v>0</v>
      </c>
      <c r="L136" s="315">
        <f>SUM(M136:O136)</f>
        <v>144500</v>
      </c>
      <c r="M136" s="309">
        <f>'[2]11. Kultúra'!$Q$18</f>
        <v>144500</v>
      </c>
      <c r="N136" s="309">
        <f>'[2]11. Kultúra'!$R$18</f>
        <v>0</v>
      </c>
      <c r="O136" s="338">
        <f>'[2]11. Kultúra'!$S$18</f>
        <v>0</v>
      </c>
      <c r="P136" s="315">
        <f>SUM(Q136:S136)</f>
        <v>141086.28</v>
      </c>
      <c r="Q136" s="309">
        <f>'[2]11. Kultúra'!$T$18</f>
        <v>141086.28</v>
      </c>
      <c r="R136" s="309">
        <f>'[2]11. Kultúra'!$U$18</f>
        <v>0</v>
      </c>
      <c r="S136" s="310">
        <f>'[2]11. Kultúra'!$V$18</f>
        <v>0</v>
      </c>
    </row>
    <row r="137" spans="1:19" ht="15.75" x14ac:dyDescent="0.25">
      <c r="A137" s="155"/>
      <c r="B137" s="344">
        <v>2</v>
      </c>
      <c r="C137" s="346" t="s">
        <v>314</v>
      </c>
      <c r="D137" s="308">
        <f t="shared" si="173"/>
        <v>517.18999999999994</v>
      </c>
      <c r="E137" s="307">
        <f>'[1]11. Kultúra'!$T$23</f>
        <v>517.18999999999994</v>
      </c>
      <c r="F137" s="307">
        <f>'[1]11. Kultúra'!$U$23</f>
        <v>0</v>
      </c>
      <c r="G137" s="325">
        <f>'[1]11. Kultúra'!$V$23</f>
        <v>0</v>
      </c>
      <c r="H137" s="488">
        <f t="shared" ref="H137:H141" si="174">SUM(I137:K137)</f>
        <v>7902.09</v>
      </c>
      <c r="I137" s="495">
        <f>'[2]11. Kultúra'!$N$25</f>
        <v>4010.85</v>
      </c>
      <c r="J137" s="495">
        <f>'[2]11. Kultúra'!$O$25</f>
        <v>3891.24</v>
      </c>
      <c r="K137" s="450">
        <f>'[2]11. Kultúra'!$P$25</f>
        <v>0</v>
      </c>
      <c r="L137" s="315">
        <f t="shared" ref="L137:L141" si="175">SUM(M137:O137)</f>
        <v>4250</v>
      </c>
      <c r="M137" s="309">
        <f>'[2]11. Kultúra'!$Q$25</f>
        <v>4250</v>
      </c>
      <c r="N137" s="309">
        <f>'[2]11. Kultúra'!$R$25</f>
        <v>0</v>
      </c>
      <c r="O137" s="338">
        <f>'[2]11. Kultúra'!$S$25</f>
        <v>0</v>
      </c>
      <c r="P137" s="315">
        <f t="shared" ref="P137:P141" si="176">SUM(Q137:S137)</f>
        <v>856.26</v>
      </c>
      <c r="Q137" s="309">
        <f>'[2]11. Kultúra'!$T$25</f>
        <v>856.26</v>
      </c>
      <c r="R137" s="309">
        <f>'[2]11. Kultúra'!$U$25</f>
        <v>0</v>
      </c>
      <c r="S137" s="310">
        <f>'[2]11. Kultúra'!$V$25</f>
        <v>0</v>
      </c>
    </row>
    <row r="138" spans="1:19" ht="15.75" x14ac:dyDescent="0.25">
      <c r="A138" s="155"/>
      <c r="B138" s="344">
        <v>3</v>
      </c>
      <c r="C138" s="346" t="s">
        <v>315</v>
      </c>
      <c r="D138" s="308">
        <f t="shared" si="173"/>
        <v>515817.5799999999</v>
      </c>
      <c r="E138" s="307">
        <f>'[1]11. Kultúra'!$T$33</f>
        <v>495848.37999999989</v>
      </c>
      <c r="F138" s="307">
        <f>'[1]11. Kultúra'!$U$33</f>
        <v>19969.2</v>
      </c>
      <c r="G138" s="325">
        <f>'[1]11. Kultúra'!$V$33</f>
        <v>0</v>
      </c>
      <c r="H138" s="488">
        <f t="shared" si="174"/>
        <v>528015.86</v>
      </c>
      <c r="I138" s="495">
        <f>'[2]11. Kultúra'!$N$36</f>
        <v>528015.86</v>
      </c>
      <c r="J138" s="495">
        <f>'[2]11. Kultúra'!$O$36</f>
        <v>0</v>
      </c>
      <c r="K138" s="450">
        <f>'[2]11. Kultúra'!$P$36</f>
        <v>0</v>
      </c>
      <c r="L138" s="315">
        <f t="shared" si="175"/>
        <v>620191</v>
      </c>
      <c r="M138" s="309">
        <f>'[2]11. Kultúra'!$Q$36</f>
        <v>620191</v>
      </c>
      <c r="N138" s="309">
        <f>'[2]11. Kultúra'!$R$36</f>
        <v>0</v>
      </c>
      <c r="O138" s="338">
        <f>'[2]11. Kultúra'!$S$36</f>
        <v>0</v>
      </c>
      <c r="P138" s="315">
        <f t="shared" si="176"/>
        <v>608439.04999999993</v>
      </c>
      <c r="Q138" s="309">
        <f>'[2]11. Kultúra'!$T$36</f>
        <v>608439.04999999993</v>
      </c>
      <c r="R138" s="309">
        <f>'[2]11. Kultúra'!$U$36</f>
        <v>0</v>
      </c>
      <c r="S138" s="310">
        <f>'[2]11. Kultúra'!$V$36</f>
        <v>0</v>
      </c>
    </row>
    <row r="139" spans="1:19" ht="15.75" x14ac:dyDescent="0.25">
      <c r="A139" s="155"/>
      <c r="B139" s="344">
        <v>4</v>
      </c>
      <c r="C139" s="346" t="s">
        <v>316</v>
      </c>
      <c r="D139" s="308">
        <f t="shared" si="173"/>
        <v>18551.509999999998</v>
      </c>
      <c r="E139" s="307">
        <f>'[1]11. Kultúra'!$T$105</f>
        <v>18551.509999999998</v>
      </c>
      <c r="F139" s="307">
        <f>'[1]11. Kultúra'!$U$105</f>
        <v>0</v>
      </c>
      <c r="G139" s="325">
        <f>'[1]11. Kultúra'!$V$105</f>
        <v>0</v>
      </c>
      <c r="H139" s="488">
        <f t="shared" si="174"/>
        <v>14968.659999999998</v>
      </c>
      <c r="I139" s="495">
        <f>'[2]11. Kultúra'!$N$114</f>
        <v>14968.659999999998</v>
      </c>
      <c r="J139" s="495">
        <f>'[2]11. Kultúra'!$O$114</f>
        <v>0</v>
      </c>
      <c r="K139" s="450">
        <f>'[2]11. Kultúra'!$P$114</f>
        <v>0</v>
      </c>
      <c r="L139" s="315">
        <f t="shared" si="175"/>
        <v>195895</v>
      </c>
      <c r="M139" s="309">
        <f>'[2]11. Kultúra'!$Q$114</f>
        <v>15895</v>
      </c>
      <c r="N139" s="309">
        <f>'[2]11. Kultúra'!$R$114</f>
        <v>180000</v>
      </c>
      <c r="O139" s="338">
        <f>'[2]11. Kultúra'!$S$114</f>
        <v>0</v>
      </c>
      <c r="P139" s="315">
        <f t="shared" si="176"/>
        <v>189437.76</v>
      </c>
      <c r="Q139" s="309">
        <f>'[2]11. Kultúra'!$T$114</f>
        <v>10992.289999999999</v>
      </c>
      <c r="R139" s="309">
        <f>'[2]11. Kultúra'!$U$114</f>
        <v>178445.47</v>
      </c>
      <c r="S139" s="310">
        <f>'[2]11. Kultúra'!$V$114</f>
        <v>0</v>
      </c>
    </row>
    <row r="140" spans="1:19" ht="15.75" x14ac:dyDescent="0.25">
      <c r="A140" s="155"/>
      <c r="B140" s="357" t="s">
        <v>317</v>
      </c>
      <c r="C140" s="346" t="s">
        <v>318</v>
      </c>
      <c r="D140" s="308">
        <f t="shared" si="173"/>
        <v>5957</v>
      </c>
      <c r="E140" s="307">
        <f>'[1]11. Kultúra'!$T$118</f>
        <v>5957</v>
      </c>
      <c r="F140" s="307">
        <f>'[1]11. Kultúra'!$U$118</f>
        <v>0</v>
      </c>
      <c r="G140" s="325">
        <f>'[1]11. Kultúra'!$V$118</f>
        <v>0</v>
      </c>
      <c r="H140" s="488">
        <f t="shared" si="174"/>
        <v>420</v>
      </c>
      <c r="I140" s="495">
        <f>'[2]11. Kultúra'!$N$126</f>
        <v>420</v>
      </c>
      <c r="J140" s="495">
        <f>'[2]11. Kultúra'!$O$126</f>
        <v>0</v>
      </c>
      <c r="K140" s="450">
        <f>'[2]11. Kultúra'!$P$126</f>
        <v>0</v>
      </c>
      <c r="L140" s="315">
        <f t="shared" si="175"/>
        <v>2500</v>
      </c>
      <c r="M140" s="309">
        <f>'[2]11. Kultúra'!$Q$126</f>
        <v>2500</v>
      </c>
      <c r="N140" s="309">
        <f>'[2]11. Kultúra'!$R$126</f>
        <v>0</v>
      </c>
      <c r="O140" s="338">
        <f>'[2]11. Kultúra'!$S$126</f>
        <v>0</v>
      </c>
      <c r="P140" s="315">
        <f t="shared" si="176"/>
        <v>0</v>
      </c>
      <c r="Q140" s="309">
        <f>'[2]11. Kultúra'!$T$126</f>
        <v>0</v>
      </c>
      <c r="R140" s="309">
        <f>'[2]11. Kultúra'!$U$126</f>
        <v>0</v>
      </c>
      <c r="S140" s="310">
        <f>'[2]11. Kultúra'!$V$126</f>
        <v>0</v>
      </c>
    </row>
    <row r="141" spans="1:19" ht="16.5" thickBot="1" x14ac:dyDescent="0.3">
      <c r="A141" s="155"/>
      <c r="B141" s="352" t="s">
        <v>319</v>
      </c>
      <c r="C141" s="348" t="s">
        <v>320</v>
      </c>
      <c r="D141" s="313">
        <f t="shared" si="173"/>
        <v>5000</v>
      </c>
      <c r="E141" s="314">
        <f>'[1]11. Kultúra'!$T$121</f>
        <v>5000</v>
      </c>
      <c r="F141" s="314">
        <f>'[1]11. Kultúra'!$U$121</f>
        <v>0</v>
      </c>
      <c r="G141" s="476">
        <f>'[1]11. Kultúra'!$V$121</f>
        <v>0</v>
      </c>
      <c r="H141" s="490">
        <f t="shared" si="174"/>
        <v>5000</v>
      </c>
      <c r="I141" s="507">
        <f>'[2]11. Kultúra'!$N$129</f>
        <v>5000</v>
      </c>
      <c r="J141" s="507">
        <f>'[2]11. Kultúra'!$O$129</f>
        <v>0</v>
      </c>
      <c r="K141" s="508">
        <f>'[2]11. Kultúra'!$P$129</f>
        <v>0</v>
      </c>
      <c r="L141" s="336">
        <f t="shared" si="175"/>
        <v>10000</v>
      </c>
      <c r="M141" s="505">
        <f>'[2]11. Kultúra'!$Q$129</f>
        <v>10000</v>
      </c>
      <c r="N141" s="505">
        <f>'[2]11. Kultúra'!$R$129</f>
        <v>0</v>
      </c>
      <c r="O141" s="533">
        <f>'[2]11. Kultúra'!$S$129</f>
        <v>0</v>
      </c>
      <c r="P141" s="336">
        <f t="shared" si="176"/>
        <v>9700</v>
      </c>
      <c r="Q141" s="505">
        <f>'[2]11. Kultúra'!$T$129</f>
        <v>9700</v>
      </c>
      <c r="R141" s="505">
        <f>'[2]11. Kultúra'!$U$129</f>
        <v>0</v>
      </c>
      <c r="S141" s="506">
        <f>'[2]11. Kultúra'!$V$129</f>
        <v>0</v>
      </c>
    </row>
    <row r="142" spans="1:19" s="157" customFormat="1" ht="15.75" x14ac:dyDescent="0.25">
      <c r="B142" s="349" t="s">
        <v>321</v>
      </c>
      <c r="C142" s="361"/>
      <c r="D142" s="306">
        <f t="shared" ref="D142:G142" si="177">D143+D148+D149+D150+D151+D152+D153</f>
        <v>308101.49</v>
      </c>
      <c r="E142" s="305">
        <f t="shared" si="177"/>
        <v>174600.59999999998</v>
      </c>
      <c r="F142" s="305">
        <f t="shared" si="177"/>
        <v>133500.88999999998</v>
      </c>
      <c r="G142" s="331">
        <f t="shared" si="177"/>
        <v>0</v>
      </c>
      <c r="H142" s="332">
        <f>H143+H148+H149+H150+H151+H152+H153</f>
        <v>466225.95999999996</v>
      </c>
      <c r="I142" s="333">
        <f t="shared" ref="I142:K142" si="178">I143+I148+I149+I150+I151+I152+I153</f>
        <v>406314.85</v>
      </c>
      <c r="J142" s="333">
        <f t="shared" si="178"/>
        <v>59911.11</v>
      </c>
      <c r="K142" s="334">
        <f t="shared" si="178"/>
        <v>0</v>
      </c>
      <c r="L142" s="332">
        <f>L143+L148+L149+L150+L151+L152+L153</f>
        <v>1100749</v>
      </c>
      <c r="M142" s="333">
        <f t="shared" ref="M142:O142" si="179">M143+M148+M149+M150+M151+M152+M153</f>
        <v>450230</v>
      </c>
      <c r="N142" s="333">
        <f t="shared" si="179"/>
        <v>650519</v>
      </c>
      <c r="O142" s="434">
        <f t="shared" si="179"/>
        <v>0</v>
      </c>
      <c r="P142" s="332">
        <f>P143+P148+P149+P150+P151+P152+P153</f>
        <v>521680.3000000001</v>
      </c>
      <c r="Q142" s="333">
        <f t="shared" ref="Q142:S142" si="180">Q143+Q148+Q149+Q150+Q151+Q152+Q153</f>
        <v>430609.13000000006</v>
      </c>
      <c r="R142" s="333">
        <f t="shared" si="180"/>
        <v>91071.17</v>
      </c>
      <c r="S142" s="334">
        <f t="shared" si="180"/>
        <v>0</v>
      </c>
    </row>
    <row r="143" spans="1:19" ht="15.75" x14ac:dyDescent="0.25">
      <c r="A143" s="155"/>
      <c r="B143" s="357" t="s">
        <v>322</v>
      </c>
      <c r="C143" s="346" t="s">
        <v>323</v>
      </c>
      <c r="D143" s="308">
        <f t="shared" ref="D143:G143" si="181">SUM(D144:D147)</f>
        <v>121886.62</v>
      </c>
      <c r="E143" s="307">
        <f t="shared" si="181"/>
        <v>121886.62</v>
      </c>
      <c r="F143" s="307">
        <f t="shared" si="181"/>
        <v>0</v>
      </c>
      <c r="G143" s="325">
        <f t="shared" si="181"/>
        <v>0</v>
      </c>
      <c r="H143" s="315">
        <f>SUM(H144:H147)</f>
        <v>334201.38</v>
      </c>
      <c r="I143" s="309">
        <f t="shared" ref="I143:K143" si="182">SUM(I144:I147)</f>
        <v>329393.23</v>
      </c>
      <c r="J143" s="309">
        <f t="shared" si="182"/>
        <v>4808.1499999999996</v>
      </c>
      <c r="K143" s="310">
        <f t="shared" si="182"/>
        <v>0</v>
      </c>
      <c r="L143" s="315">
        <f>SUM(L144:L147)</f>
        <v>861200</v>
      </c>
      <c r="M143" s="309">
        <f t="shared" ref="M143:O143" si="183">SUM(M144:M147)</f>
        <v>359600</v>
      </c>
      <c r="N143" s="309">
        <f t="shared" si="183"/>
        <v>501600</v>
      </c>
      <c r="O143" s="338">
        <f t="shared" si="183"/>
        <v>0</v>
      </c>
      <c r="P143" s="315">
        <f>SUM(P144:P147)</f>
        <v>354826.86000000004</v>
      </c>
      <c r="Q143" s="309">
        <f t="shared" ref="Q143:S143" si="184">SUM(Q144:Q147)</f>
        <v>354826.86000000004</v>
      </c>
      <c r="R143" s="309">
        <f t="shared" si="184"/>
        <v>0</v>
      </c>
      <c r="S143" s="310">
        <f t="shared" si="184"/>
        <v>0</v>
      </c>
    </row>
    <row r="144" spans="1:19" ht="15.75" x14ac:dyDescent="0.25">
      <c r="A144" s="155"/>
      <c r="B144" s="344">
        <v>1</v>
      </c>
      <c r="C144" s="346" t="s">
        <v>324</v>
      </c>
      <c r="D144" s="308">
        <f t="shared" ref="D144:D153" si="185">SUM(E144:G144)</f>
        <v>119851.41</v>
      </c>
      <c r="E144" s="307">
        <f>'[1]12. Prostredie pre život'!$T$5</f>
        <v>119851.41</v>
      </c>
      <c r="F144" s="307">
        <f>'[1]12. Prostredie pre život'!$U$5</f>
        <v>0</v>
      </c>
      <c r="G144" s="325">
        <f>'[1]12. Prostredie pre život'!$V$5</f>
        <v>0</v>
      </c>
      <c r="H144" s="315">
        <f>SUM(I144:K144)</f>
        <v>325533.99</v>
      </c>
      <c r="I144" s="309">
        <f>'[2]12. Prostredie pre život'!$N$5</f>
        <v>325533.99</v>
      </c>
      <c r="J144" s="309">
        <f>'[2]12. Prostredie pre život'!$O$5</f>
        <v>0</v>
      </c>
      <c r="K144" s="310">
        <f>'[2]12. Prostredie pre život'!$P$5</f>
        <v>0</v>
      </c>
      <c r="L144" s="315">
        <f>SUM(M144:O144)</f>
        <v>355100</v>
      </c>
      <c r="M144" s="309">
        <f>'[2]12. Prostredie pre život'!$Q$5</f>
        <v>355100</v>
      </c>
      <c r="N144" s="309">
        <f>'[2]12. Prostredie pre život'!$R$5</f>
        <v>0</v>
      </c>
      <c r="O144" s="338">
        <f>'[2]12. Prostredie pre život'!$S$5</f>
        <v>0</v>
      </c>
      <c r="P144" s="315">
        <f>SUM(Q144:S144)</f>
        <v>352295.45</v>
      </c>
      <c r="Q144" s="309">
        <f>'[2]12. Prostredie pre život'!$T$5</f>
        <v>352295.45</v>
      </c>
      <c r="R144" s="309">
        <f>'[2]12. Prostredie pre život'!$U$5</f>
        <v>0</v>
      </c>
      <c r="S144" s="310">
        <f>'[2]12. Prostredie pre život'!$V$5</f>
        <v>0</v>
      </c>
    </row>
    <row r="145" spans="1:19" ht="15.75" x14ac:dyDescent="0.25">
      <c r="A145" s="155"/>
      <c r="B145" s="344">
        <v>2</v>
      </c>
      <c r="C145" s="346" t="s">
        <v>325</v>
      </c>
      <c r="D145" s="308">
        <f t="shared" si="185"/>
        <v>1000</v>
      </c>
      <c r="E145" s="307">
        <f>'[1]12. Prostredie pre život'!$T$18</f>
        <v>1000</v>
      </c>
      <c r="F145" s="307">
        <f>'[1]12. Prostredie pre život'!$U$18</f>
        <v>0</v>
      </c>
      <c r="G145" s="325">
        <f>'[1]12. Prostredie pre život'!$V$18</f>
        <v>0</v>
      </c>
      <c r="H145" s="315">
        <f t="shared" ref="H145:H153" si="186">SUM(I145:K145)</f>
        <v>1070</v>
      </c>
      <c r="I145" s="309">
        <f>'[2]12. Prostredie pre život'!$N$18</f>
        <v>1070</v>
      </c>
      <c r="J145" s="309">
        <f>'[2]12. Prostredie pre život'!$O$18</f>
        <v>0</v>
      </c>
      <c r="K145" s="310">
        <f>'[2]12. Prostredie pre život'!$P$18</f>
        <v>0</v>
      </c>
      <c r="L145" s="315">
        <f t="shared" ref="L145:L153" si="187">SUM(M145:O145)</f>
        <v>1000</v>
      </c>
      <c r="M145" s="309">
        <f>'[2]12. Prostredie pre život'!$Q$18</f>
        <v>1000</v>
      </c>
      <c r="N145" s="309">
        <f>'[2]12. Prostredie pre život'!$R$18</f>
        <v>0</v>
      </c>
      <c r="O145" s="338">
        <f>'[2]12. Prostredie pre život'!$S$18</f>
        <v>0</v>
      </c>
      <c r="P145" s="315">
        <f t="shared" ref="P145:P153" si="188">SUM(Q145:S145)</f>
        <v>1000</v>
      </c>
      <c r="Q145" s="309">
        <f>'[2]12. Prostredie pre život'!$T$18</f>
        <v>1000</v>
      </c>
      <c r="R145" s="309">
        <f>'[2]12. Prostredie pre život'!$U$18</f>
        <v>0</v>
      </c>
      <c r="S145" s="310">
        <f>'[2]12. Prostredie pre život'!$V$18</f>
        <v>0</v>
      </c>
    </row>
    <row r="146" spans="1:19" ht="15.75" x14ac:dyDescent="0.25">
      <c r="A146" s="155"/>
      <c r="B146" s="344">
        <v>3</v>
      </c>
      <c r="C146" s="346" t="s">
        <v>326</v>
      </c>
      <c r="D146" s="308">
        <f t="shared" si="185"/>
        <v>714.81</v>
      </c>
      <c r="E146" s="307">
        <f>'[1]12. Prostredie pre život'!$T$20</f>
        <v>714.81</v>
      </c>
      <c r="F146" s="307">
        <f>'[1]12. Prostredie pre život'!$U$20</f>
        <v>0</v>
      </c>
      <c r="G146" s="325">
        <f>'[1]12. Prostredie pre život'!$V$20</f>
        <v>0</v>
      </c>
      <c r="H146" s="315">
        <f t="shared" si="186"/>
        <v>7242.19</v>
      </c>
      <c r="I146" s="309">
        <f>'[2]12. Prostredie pre život'!$N$20</f>
        <v>2434.04</v>
      </c>
      <c r="J146" s="309">
        <f>'[2]12. Prostredie pre život'!$O$20</f>
        <v>4808.1499999999996</v>
      </c>
      <c r="K146" s="310">
        <f>'[2]12. Prostredie pre život'!$P$20</f>
        <v>0</v>
      </c>
      <c r="L146" s="315">
        <f t="shared" si="187"/>
        <v>504600</v>
      </c>
      <c r="M146" s="309">
        <f>'[2]12. Prostredie pre život'!$Q$20</f>
        <v>3000</v>
      </c>
      <c r="N146" s="309">
        <f>'[2]12. Prostredie pre život'!$R$20</f>
        <v>501600</v>
      </c>
      <c r="O146" s="338">
        <f>'[2]12. Prostredie pre život'!$S$20</f>
        <v>0</v>
      </c>
      <c r="P146" s="315">
        <f t="shared" si="188"/>
        <v>1205.01</v>
      </c>
      <c r="Q146" s="309">
        <f>'[2]12. Prostredie pre život'!$T$20</f>
        <v>1205.01</v>
      </c>
      <c r="R146" s="309">
        <f>'[2]12. Prostredie pre život'!$U$20</f>
        <v>0</v>
      </c>
      <c r="S146" s="310">
        <f>'[2]12. Prostredie pre život'!$V$20</f>
        <v>0</v>
      </c>
    </row>
    <row r="147" spans="1:19" ht="15.75" x14ac:dyDescent="0.25">
      <c r="A147" s="155"/>
      <c r="B147" s="344">
        <v>4</v>
      </c>
      <c r="C147" s="346" t="s">
        <v>327</v>
      </c>
      <c r="D147" s="308">
        <f t="shared" si="185"/>
        <v>320.39999999999998</v>
      </c>
      <c r="E147" s="307">
        <f>'[1]12. Prostredie pre život'!$T$35</f>
        <v>320.39999999999998</v>
      </c>
      <c r="F147" s="307">
        <f>'[1]12. Prostredie pre život'!$U$35</f>
        <v>0</v>
      </c>
      <c r="G147" s="325">
        <f>'[1]12. Prostredie pre život'!$V$35</f>
        <v>0</v>
      </c>
      <c r="H147" s="315">
        <f t="shared" si="186"/>
        <v>355.2</v>
      </c>
      <c r="I147" s="309">
        <f>'[2]12. Prostredie pre život'!$N$37</f>
        <v>355.2</v>
      </c>
      <c r="J147" s="309">
        <f>'[2]12. Prostredie pre život'!$O$37</f>
        <v>0</v>
      </c>
      <c r="K147" s="310">
        <f>'[2]12. Prostredie pre život'!$P$37</f>
        <v>0</v>
      </c>
      <c r="L147" s="315">
        <f t="shared" si="187"/>
        <v>500</v>
      </c>
      <c r="M147" s="309">
        <f>'[2]12. Prostredie pre život'!$Q$37</f>
        <v>500</v>
      </c>
      <c r="N147" s="309">
        <f>'[2]12. Prostredie pre život'!$R$37</f>
        <v>0</v>
      </c>
      <c r="O147" s="338">
        <f>'[2]12. Prostredie pre život'!$S$37</f>
        <v>0</v>
      </c>
      <c r="P147" s="315">
        <f t="shared" si="188"/>
        <v>326.39999999999998</v>
      </c>
      <c r="Q147" s="309">
        <f>'[2]12. Prostredie pre život'!$T$37</f>
        <v>326.39999999999998</v>
      </c>
      <c r="R147" s="309">
        <f>'[2]12. Prostredie pre život'!$U$37</f>
        <v>0</v>
      </c>
      <c r="S147" s="310">
        <f>'[2]12. Prostredie pre život'!$V$37</f>
        <v>0</v>
      </c>
    </row>
    <row r="148" spans="1:19" ht="15.75" x14ac:dyDescent="0.25">
      <c r="A148" s="155"/>
      <c r="B148" s="357" t="s">
        <v>328</v>
      </c>
      <c r="C148" s="346" t="s">
        <v>329</v>
      </c>
      <c r="D148" s="308">
        <f t="shared" si="185"/>
        <v>3419.1</v>
      </c>
      <c r="E148" s="307">
        <f>'[1]12. Prostredie pre život'!$T$39</f>
        <v>3419.1</v>
      </c>
      <c r="F148" s="307">
        <f>'[1]12. Prostredie pre život'!$U$39</f>
        <v>0</v>
      </c>
      <c r="G148" s="325">
        <f>'[1]12. Prostredie pre život'!$V$39</f>
        <v>0</v>
      </c>
      <c r="H148" s="315">
        <f t="shared" si="186"/>
        <v>3614.3199999999997</v>
      </c>
      <c r="I148" s="309">
        <f>'[2]12. Prostredie pre život'!$N$41</f>
        <v>3614.3199999999997</v>
      </c>
      <c r="J148" s="309">
        <f>'[2]12. Prostredie pre život'!$O$41</f>
        <v>0</v>
      </c>
      <c r="K148" s="310">
        <f>'[2]12. Prostredie pre život'!$P$41</f>
        <v>0</v>
      </c>
      <c r="L148" s="315">
        <f t="shared" si="187"/>
        <v>5000</v>
      </c>
      <c r="M148" s="309">
        <f>'[2]12. Prostredie pre život'!$Q$41</f>
        <v>5000</v>
      </c>
      <c r="N148" s="309">
        <f>'[2]12. Prostredie pre život'!$R$41</f>
        <v>0</v>
      </c>
      <c r="O148" s="338">
        <f>'[2]12. Prostredie pre život'!$S$41</f>
        <v>0</v>
      </c>
      <c r="P148" s="315">
        <f t="shared" si="188"/>
        <v>1400</v>
      </c>
      <c r="Q148" s="309">
        <f>'[2]12. Prostredie pre život'!$T$41</f>
        <v>1400</v>
      </c>
      <c r="R148" s="309">
        <f>'[2]12. Prostredie pre život'!$U$41</f>
        <v>0</v>
      </c>
      <c r="S148" s="310">
        <f>'[2]12. Prostredie pre život'!$V$41</f>
        <v>0</v>
      </c>
    </row>
    <row r="149" spans="1:19" ht="15.75" x14ac:dyDescent="0.25">
      <c r="A149" s="158"/>
      <c r="B149" s="364" t="s">
        <v>330</v>
      </c>
      <c r="C149" s="346" t="s">
        <v>331</v>
      </c>
      <c r="D149" s="308">
        <f t="shared" si="185"/>
        <v>119113.43</v>
      </c>
      <c r="E149" s="307">
        <f>'[1]12. Prostredie pre život'!$T$42</f>
        <v>14044.150000000001</v>
      </c>
      <c r="F149" s="307">
        <f>'[1]12. Prostredie pre život'!$U$42</f>
        <v>105069.28</v>
      </c>
      <c r="G149" s="325">
        <f>'[1]12. Prostredie pre život'!$V$42</f>
        <v>0</v>
      </c>
      <c r="H149" s="315">
        <f t="shared" si="186"/>
        <v>38386.36</v>
      </c>
      <c r="I149" s="309">
        <f>'[2]12. Prostredie pre život'!$N$44</f>
        <v>13540.400000000001</v>
      </c>
      <c r="J149" s="309">
        <f>'[2]12. Prostredie pre život'!$O$44</f>
        <v>24845.96</v>
      </c>
      <c r="K149" s="310">
        <f>'[2]12. Prostredie pre život'!$P$44</f>
        <v>0</v>
      </c>
      <c r="L149" s="315">
        <f t="shared" si="187"/>
        <v>113260</v>
      </c>
      <c r="M149" s="309">
        <f>'[2]12. Prostredie pre život'!$Q$44</f>
        <v>26860</v>
      </c>
      <c r="N149" s="309">
        <f>'[2]12. Prostredie pre život'!$R$44</f>
        <v>86400</v>
      </c>
      <c r="O149" s="338">
        <f>'[2]12. Prostredie pre život'!$S$44</f>
        <v>0</v>
      </c>
      <c r="P149" s="315">
        <f t="shared" si="188"/>
        <v>46639.88</v>
      </c>
      <c r="Q149" s="309">
        <f>'[2]12. Prostredie pre život'!$T$44</f>
        <v>18086.939999999999</v>
      </c>
      <c r="R149" s="309">
        <f>'[2]12. Prostredie pre život'!$U$44</f>
        <v>28552.94</v>
      </c>
      <c r="S149" s="310">
        <f>'[2]12. Prostredie pre život'!$V$44</f>
        <v>0</v>
      </c>
    </row>
    <row r="150" spans="1:19" ht="15.75" x14ac:dyDescent="0.25">
      <c r="A150" s="158"/>
      <c r="B150" s="364" t="s">
        <v>332</v>
      </c>
      <c r="C150" s="346" t="s">
        <v>333</v>
      </c>
      <c r="D150" s="308">
        <f t="shared" si="185"/>
        <v>609.27</v>
      </c>
      <c r="E150" s="307">
        <f>'[1]12. Prostredie pre život'!$T$53</f>
        <v>609.27</v>
      </c>
      <c r="F150" s="307">
        <f>'[1]12. Prostredie pre život'!$U$53</f>
        <v>0</v>
      </c>
      <c r="G150" s="325">
        <f>'[1]12. Prostredie pre život'!$V$53</f>
        <v>0</v>
      </c>
      <c r="H150" s="315">
        <f t="shared" si="186"/>
        <v>486.61</v>
      </c>
      <c r="I150" s="309">
        <f>'[2]12. Prostredie pre život'!$N$63</f>
        <v>486.61</v>
      </c>
      <c r="J150" s="309">
        <f>'[2]12. Prostredie pre život'!$O$63</f>
        <v>0</v>
      </c>
      <c r="K150" s="310">
        <f>'[2]12. Prostredie pre život'!$P$63</f>
        <v>0</v>
      </c>
      <c r="L150" s="315">
        <f t="shared" si="187"/>
        <v>700</v>
      </c>
      <c r="M150" s="309">
        <f>'[2]12. Prostredie pre život'!$Q$63</f>
        <v>700</v>
      </c>
      <c r="N150" s="309">
        <f>'[2]12. Prostredie pre život'!$R$63</f>
        <v>0</v>
      </c>
      <c r="O150" s="338">
        <f>'[2]12. Prostredie pre život'!$S$63</f>
        <v>0</v>
      </c>
      <c r="P150" s="315">
        <f t="shared" si="188"/>
        <v>677.28</v>
      </c>
      <c r="Q150" s="309">
        <f>'[2]12. Prostredie pre život'!$T$63</f>
        <v>677.28</v>
      </c>
      <c r="R150" s="309">
        <f>'[2]12. Prostredie pre život'!$U$63</f>
        <v>0</v>
      </c>
      <c r="S150" s="310">
        <f>'[2]12. Prostredie pre život'!$V$63</f>
        <v>0</v>
      </c>
    </row>
    <row r="151" spans="1:19" ht="15.75" x14ac:dyDescent="0.25">
      <c r="A151" s="158"/>
      <c r="B151" s="364" t="s">
        <v>334</v>
      </c>
      <c r="C151" s="346" t="s">
        <v>335</v>
      </c>
      <c r="D151" s="308">
        <f t="shared" si="185"/>
        <v>23097.64</v>
      </c>
      <c r="E151" s="307">
        <f>'[1]12. Prostredie pre život'!$T$55</f>
        <v>23097.64</v>
      </c>
      <c r="F151" s="307">
        <f>'[1]12. Prostredie pre život'!$U$55</f>
        <v>0</v>
      </c>
      <c r="G151" s="325">
        <f>'[1]12. Prostredie pre život'!$V$55</f>
        <v>0</v>
      </c>
      <c r="H151" s="315">
        <f t="shared" si="186"/>
        <v>27003.919999999998</v>
      </c>
      <c r="I151" s="309">
        <f>'[2]12. Prostredie pre život'!$N$65</f>
        <v>27003.919999999998</v>
      </c>
      <c r="J151" s="309">
        <f>'[2]12. Prostredie pre život'!$O$65</f>
        <v>0</v>
      </c>
      <c r="K151" s="310">
        <f>'[2]12. Prostredie pre život'!$P$65</f>
        <v>0</v>
      </c>
      <c r="L151" s="315">
        <f t="shared" si="187"/>
        <v>26000</v>
      </c>
      <c r="M151" s="309">
        <f>'[2]12. Prostredie pre život'!$Q$65</f>
        <v>26000</v>
      </c>
      <c r="N151" s="309">
        <f>'[2]12. Prostredie pre život'!$R$65</f>
        <v>0</v>
      </c>
      <c r="O151" s="338">
        <f>'[2]12. Prostredie pre život'!$S$65</f>
        <v>0</v>
      </c>
      <c r="P151" s="315">
        <f t="shared" si="188"/>
        <v>24797.949999999997</v>
      </c>
      <c r="Q151" s="309">
        <f>'[2]12. Prostredie pre život'!$T$65</f>
        <v>24797.949999999997</v>
      </c>
      <c r="R151" s="309">
        <f>'[2]12. Prostredie pre život'!$U$65</f>
        <v>0</v>
      </c>
      <c r="S151" s="310">
        <f>'[2]12. Prostredie pre život'!$V$65</f>
        <v>0</v>
      </c>
    </row>
    <row r="152" spans="1:19" ht="15.75" x14ac:dyDescent="0.25">
      <c r="A152" s="158"/>
      <c r="B152" s="365" t="s">
        <v>336</v>
      </c>
      <c r="C152" s="363" t="s">
        <v>337</v>
      </c>
      <c r="D152" s="312">
        <f t="shared" si="185"/>
        <v>34599.549999999996</v>
      </c>
      <c r="E152" s="311">
        <f>'[1]12. Prostredie pre život'!$T$59</f>
        <v>11543.819999999998</v>
      </c>
      <c r="F152" s="311">
        <f>'[1]12. Prostredie pre život'!$U$59</f>
        <v>23055.73</v>
      </c>
      <c r="G152" s="327">
        <f>'[1]12. Prostredie pre život'!$V$59</f>
        <v>0</v>
      </c>
      <c r="H152" s="315">
        <f t="shared" si="186"/>
        <v>56814.17</v>
      </c>
      <c r="I152" s="309">
        <f>'[2]12. Prostredie pre život'!$N$69</f>
        <v>32276.370000000003</v>
      </c>
      <c r="J152" s="309">
        <f>'[2]12. Prostredie pre život'!$O$69</f>
        <v>24537.8</v>
      </c>
      <c r="K152" s="310">
        <f>'[2]12. Prostredie pre život'!$P$69</f>
        <v>0</v>
      </c>
      <c r="L152" s="315">
        <f t="shared" si="187"/>
        <v>89589</v>
      </c>
      <c r="M152" s="309">
        <f>'[2]12. Prostredie pre život'!$Q$69</f>
        <v>32070</v>
      </c>
      <c r="N152" s="309">
        <f>'[2]12. Prostredie pre život'!$R$69</f>
        <v>57519</v>
      </c>
      <c r="O152" s="338">
        <f>'[2]12. Prostredie pre život'!$S$69</f>
        <v>0</v>
      </c>
      <c r="P152" s="315">
        <f t="shared" si="188"/>
        <v>88338.33</v>
      </c>
      <c r="Q152" s="309">
        <f>'[2]12. Prostredie pre život'!$T$69</f>
        <v>30820.100000000002</v>
      </c>
      <c r="R152" s="309">
        <f>'[2]12. Prostredie pre život'!$U$69</f>
        <v>57518.229999999996</v>
      </c>
      <c r="S152" s="310">
        <f>'[2]12. Prostredie pre život'!$V$69</f>
        <v>0</v>
      </c>
    </row>
    <row r="153" spans="1:19" ht="16.5" thickBot="1" x14ac:dyDescent="0.3">
      <c r="A153" s="158"/>
      <c r="B153" s="366" t="s">
        <v>338</v>
      </c>
      <c r="C153" s="348" t="s">
        <v>428</v>
      </c>
      <c r="D153" s="312">
        <f t="shared" si="185"/>
        <v>5375.88</v>
      </c>
      <c r="E153" s="311">
        <f>'[1]12. Prostredie pre život'!$T$79</f>
        <v>0</v>
      </c>
      <c r="F153" s="311">
        <f>'[1]12. Prostredie pre život'!$U$79</f>
        <v>5375.88</v>
      </c>
      <c r="G153" s="327">
        <f>'[1]12. Prostredie pre život'!$V$79</f>
        <v>0</v>
      </c>
      <c r="H153" s="328">
        <f t="shared" si="186"/>
        <v>5719.2</v>
      </c>
      <c r="I153" s="329">
        <f>'[2]12. Prostredie pre život'!$N$96</f>
        <v>0</v>
      </c>
      <c r="J153" s="329">
        <f>'[2]12. Prostredie pre život'!$O$96</f>
        <v>5719.2</v>
      </c>
      <c r="K153" s="330">
        <f>'[2]12. Prostredie pre život'!$P$96</f>
        <v>0</v>
      </c>
      <c r="L153" s="336">
        <f t="shared" si="187"/>
        <v>5000</v>
      </c>
      <c r="M153" s="337">
        <f>'[2]12. Prostredie pre život'!$Q$96</f>
        <v>0</v>
      </c>
      <c r="N153" s="337">
        <f>'[2]12. Prostredie pre život'!$R$96</f>
        <v>5000</v>
      </c>
      <c r="O153" s="501">
        <f>'[2]12. Prostredie pre život'!$S$96</f>
        <v>0</v>
      </c>
      <c r="P153" s="336">
        <f t="shared" si="188"/>
        <v>5000</v>
      </c>
      <c r="Q153" s="337">
        <f>'[2]12. Prostredie pre život'!$T$96</f>
        <v>0</v>
      </c>
      <c r="R153" s="337">
        <f>'[2]12. Prostredie pre život'!$U$96</f>
        <v>5000</v>
      </c>
      <c r="S153" s="379">
        <f>'[2]12. Prostredie pre život'!$V$96</f>
        <v>0</v>
      </c>
    </row>
    <row r="154" spans="1:19" s="157" customFormat="1" ht="15.75" x14ac:dyDescent="0.25">
      <c r="A154" s="159"/>
      <c r="B154" s="367" t="s">
        <v>340</v>
      </c>
      <c r="C154" s="368" t="s">
        <v>341</v>
      </c>
      <c r="D154" s="332">
        <f t="shared" ref="D154:G154" si="189">D155+D159+D164+D169+D173+D174+D175+D177+D178</f>
        <v>1307995.3899999999</v>
      </c>
      <c r="E154" s="333">
        <f t="shared" si="189"/>
        <v>957906.04</v>
      </c>
      <c r="F154" s="333">
        <f t="shared" si="189"/>
        <v>92155</v>
      </c>
      <c r="G154" s="434">
        <f t="shared" si="189"/>
        <v>257934.35</v>
      </c>
      <c r="H154" s="332">
        <f>H155+H159+H164+H169+H173+H174+H175+H177+H178</f>
        <v>1193340.27</v>
      </c>
      <c r="I154" s="451">
        <f t="shared" ref="I154:K154" si="190">I155+I159+I164+I169+I173+I174+I175+I177+I178</f>
        <v>1192005.6300000001</v>
      </c>
      <c r="J154" s="451">
        <f t="shared" si="190"/>
        <v>1334.64</v>
      </c>
      <c r="K154" s="479">
        <f t="shared" si="190"/>
        <v>0</v>
      </c>
      <c r="L154" s="332">
        <f>L155+L159+L164+L169+L173+L174+L175+L177+L178</f>
        <v>1714234</v>
      </c>
      <c r="M154" s="333">
        <f t="shared" ref="M154:O154" si="191">M155+M159+M164+M169+M173+M174+M175+M177+M178</f>
        <v>1684809</v>
      </c>
      <c r="N154" s="333">
        <f t="shared" si="191"/>
        <v>29425</v>
      </c>
      <c r="O154" s="434">
        <f t="shared" si="191"/>
        <v>0</v>
      </c>
      <c r="P154" s="332">
        <f>P155+P159+P164+P169+P173+P174+P175+P177+P178</f>
        <v>1629025.4400000002</v>
      </c>
      <c r="Q154" s="333">
        <f t="shared" ref="Q154:S154" si="192">Q155+Q159+Q164+Q169+Q173+Q174+Q175+Q177+Q178</f>
        <v>1599771.4400000002</v>
      </c>
      <c r="R154" s="333">
        <f t="shared" si="192"/>
        <v>29254</v>
      </c>
      <c r="S154" s="334">
        <f t="shared" si="192"/>
        <v>0</v>
      </c>
    </row>
    <row r="155" spans="1:19" ht="15.75" x14ac:dyDescent="0.25">
      <c r="A155" s="158"/>
      <c r="B155" s="357" t="s">
        <v>342</v>
      </c>
      <c r="C155" s="346" t="s">
        <v>343</v>
      </c>
      <c r="D155" s="315">
        <f t="shared" ref="D155:G155" si="193">SUM(D156:D158)</f>
        <v>4700</v>
      </c>
      <c r="E155" s="309">
        <f t="shared" si="193"/>
        <v>4700</v>
      </c>
      <c r="F155" s="309">
        <f t="shared" si="193"/>
        <v>0</v>
      </c>
      <c r="G155" s="338">
        <f t="shared" si="193"/>
        <v>0</v>
      </c>
      <c r="H155" s="315">
        <f>SUM(H156:H158)</f>
        <v>15010.32</v>
      </c>
      <c r="I155" s="339">
        <f t="shared" ref="I155:K155" si="194">SUM(I156:I158)</f>
        <v>15010.32</v>
      </c>
      <c r="J155" s="339">
        <f t="shared" si="194"/>
        <v>0</v>
      </c>
      <c r="K155" s="480">
        <f t="shared" si="194"/>
        <v>0</v>
      </c>
      <c r="L155" s="315">
        <f>SUM(L156:L158)</f>
        <v>24374</v>
      </c>
      <c r="M155" s="309">
        <f t="shared" ref="M155:O155" si="195">SUM(M156:M158)</f>
        <v>24374</v>
      </c>
      <c r="N155" s="309">
        <f t="shared" si="195"/>
        <v>0</v>
      </c>
      <c r="O155" s="338">
        <f t="shared" si="195"/>
        <v>0</v>
      </c>
      <c r="P155" s="315">
        <f>SUM(P156:P158)</f>
        <v>22224.560000000001</v>
      </c>
      <c r="Q155" s="309">
        <f t="shared" ref="Q155:S155" si="196">SUM(Q156:Q158)</f>
        <v>22224.560000000001</v>
      </c>
      <c r="R155" s="309">
        <f t="shared" si="196"/>
        <v>0</v>
      </c>
      <c r="S155" s="310">
        <f t="shared" si="196"/>
        <v>0</v>
      </c>
    </row>
    <row r="156" spans="1:19" ht="15.75" x14ac:dyDescent="0.25">
      <c r="A156" s="158"/>
      <c r="B156" s="344">
        <v>1</v>
      </c>
      <c r="C156" s="346" t="s">
        <v>344</v>
      </c>
      <c r="D156" s="315">
        <f>SUM(E156:G156)</f>
        <v>4700</v>
      </c>
      <c r="E156" s="309">
        <f>'[1]13. Sociálna starostlivosť'!$T$5</f>
        <v>4700</v>
      </c>
      <c r="F156" s="309">
        <f>'[1]13. Sociálna starostlivosť'!$U$5</f>
        <v>0</v>
      </c>
      <c r="G156" s="338">
        <f>'[1]13. Sociálna starostlivosť'!$V$5</f>
        <v>0</v>
      </c>
      <c r="H156" s="315">
        <f>SUM(I156:K156)</f>
        <v>12870</v>
      </c>
      <c r="I156" s="339">
        <f>'[2]13. Sociálna starostlivosť'!$N$5</f>
        <v>12870</v>
      </c>
      <c r="J156" s="339">
        <f>'[2]13. Sociálna starostlivosť'!$O$5</f>
        <v>0</v>
      </c>
      <c r="K156" s="480">
        <f>'[2]13. Sociálna starostlivosť'!$P$5</f>
        <v>0</v>
      </c>
      <c r="L156" s="315">
        <f>SUM(M156:O156)</f>
        <v>20850</v>
      </c>
      <c r="M156" s="309">
        <f>'[2]13. Sociálna starostlivosť'!$Q$5</f>
        <v>20850</v>
      </c>
      <c r="N156" s="309">
        <f>'[2]13. Sociálna starostlivosť'!$R$5</f>
        <v>0</v>
      </c>
      <c r="O156" s="338">
        <f>'[2]13. Sociálna starostlivosť'!$S$5</f>
        <v>0</v>
      </c>
      <c r="P156" s="315">
        <f>SUM(Q156:S156)</f>
        <v>20850</v>
      </c>
      <c r="Q156" s="309">
        <f>'[2]13. Sociálna starostlivosť'!$T$5</f>
        <v>20850</v>
      </c>
      <c r="R156" s="309">
        <f>'[2]13. Sociálna starostlivosť'!$U$5</f>
        <v>0</v>
      </c>
      <c r="S156" s="310">
        <f>'[2]13. Sociálna starostlivosť'!$V$5</f>
        <v>0</v>
      </c>
    </row>
    <row r="157" spans="1:19" ht="15.75" x14ac:dyDescent="0.25">
      <c r="A157" s="158"/>
      <c r="B157" s="344">
        <v>2</v>
      </c>
      <c r="C157" s="346" t="s">
        <v>345</v>
      </c>
      <c r="D157" s="315">
        <f>SUM(E157:G157)</f>
        <v>0</v>
      </c>
      <c r="E157" s="309">
        <f>'[1]13. Sociálna starostlivosť'!$T$7</f>
        <v>0</v>
      </c>
      <c r="F157" s="309">
        <f>'[1]13. Sociálna starostlivosť'!$U$7</f>
        <v>0</v>
      </c>
      <c r="G157" s="338">
        <f>'[1]13. Sociálna starostlivosť'!$V$7</f>
        <v>0</v>
      </c>
      <c r="H157" s="315">
        <f t="shared" ref="H157:H158" si="197">SUM(I157:K157)</f>
        <v>0</v>
      </c>
      <c r="I157" s="339">
        <f>'[2]13. Sociálna starostlivosť'!$N$7</f>
        <v>0</v>
      </c>
      <c r="J157" s="339">
        <f>'[2]13. Sociálna starostlivosť'!$O$7</f>
        <v>0</v>
      </c>
      <c r="K157" s="480">
        <f>'[2]13. Sociálna starostlivosť'!$P$7</f>
        <v>0</v>
      </c>
      <c r="L157" s="315">
        <f t="shared" ref="L157:L158" si="198">SUM(M157:O157)</f>
        <v>0</v>
      </c>
      <c r="M157" s="309">
        <f>'[2]13. Sociálna starostlivosť'!$Q$7</f>
        <v>0</v>
      </c>
      <c r="N157" s="309">
        <f>'[2]13. Sociálna starostlivosť'!$R$7</f>
        <v>0</v>
      </c>
      <c r="O157" s="338">
        <f>'[2]13. Sociálna starostlivosť'!$S$7</f>
        <v>0</v>
      </c>
      <c r="P157" s="315">
        <f t="shared" ref="P157:P158" si="199">SUM(Q157:S157)</f>
        <v>0</v>
      </c>
      <c r="Q157" s="309">
        <f>'[2]13. Sociálna starostlivosť'!$T$7</f>
        <v>0</v>
      </c>
      <c r="R157" s="309">
        <f>'[2]13. Sociálna starostlivosť'!$U$7</f>
        <v>0</v>
      </c>
      <c r="S157" s="310">
        <f>'[2]13. Sociálna starostlivosť'!$V$7</f>
        <v>0</v>
      </c>
    </row>
    <row r="158" spans="1:19" ht="15.75" x14ac:dyDescent="0.25">
      <c r="A158" s="158"/>
      <c r="B158" s="344">
        <v>3</v>
      </c>
      <c r="C158" s="346" t="s">
        <v>346</v>
      </c>
      <c r="D158" s="315">
        <f>SUM(E158:G158)</f>
        <v>0</v>
      </c>
      <c r="E158" s="309">
        <f>'[1]13. Sociálna starostlivosť'!$T$8</f>
        <v>0</v>
      </c>
      <c r="F158" s="309">
        <f>'[1]13. Sociálna starostlivosť'!$U$8</f>
        <v>0</v>
      </c>
      <c r="G158" s="338">
        <f>'[1]13. Sociálna starostlivosť'!$V$8</f>
        <v>0</v>
      </c>
      <c r="H158" s="315">
        <f t="shared" si="197"/>
        <v>2140.3200000000002</v>
      </c>
      <c r="I158" s="339">
        <f>'[2]13. Sociálna starostlivosť'!$N$8</f>
        <v>2140.3200000000002</v>
      </c>
      <c r="J158" s="339">
        <f>'[2]13. Sociálna starostlivosť'!$O$8</f>
        <v>0</v>
      </c>
      <c r="K158" s="480">
        <f>'[2]13. Sociálna starostlivosť'!$P$8</f>
        <v>0</v>
      </c>
      <c r="L158" s="315">
        <f t="shared" si="198"/>
        <v>3524</v>
      </c>
      <c r="M158" s="309">
        <f>'[2]13. Sociálna starostlivosť'!$Q$8</f>
        <v>3524</v>
      </c>
      <c r="N158" s="309">
        <f>'[2]13. Sociálna starostlivosť'!$R$8</f>
        <v>0</v>
      </c>
      <c r="O158" s="338">
        <f>'[2]13. Sociálna starostlivosť'!$S$8</f>
        <v>0</v>
      </c>
      <c r="P158" s="315">
        <f t="shared" si="199"/>
        <v>1374.56</v>
      </c>
      <c r="Q158" s="309">
        <f>'[2]13. Sociálna starostlivosť'!$T$8</f>
        <v>1374.56</v>
      </c>
      <c r="R158" s="309">
        <f>'[2]13. Sociálna starostlivosť'!$U$8</f>
        <v>0</v>
      </c>
      <c r="S158" s="310">
        <f>'[2]13. Sociálna starostlivosť'!$V$8</f>
        <v>0</v>
      </c>
    </row>
    <row r="159" spans="1:19" ht="15.75" x14ac:dyDescent="0.25">
      <c r="A159" s="159"/>
      <c r="B159" s="357" t="s">
        <v>347</v>
      </c>
      <c r="C159" s="346" t="s">
        <v>348</v>
      </c>
      <c r="D159" s="315">
        <f t="shared" ref="D159:G159" si="200">SUM(D160:D163)</f>
        <v>231281.06</v>
      </c>
      <c r="E159" s="309">
        <f t="shared" si="200"/>
        <v>231281.06</v>
      </c>
      <c r="F159" s="309">
        <f t="shared" si="200"/>
        <v>0</v>
      </c>
      <c r="G159" s="338">
        <f t="shared" si="200"/>
        <v>0</v>
      </c>
      <c r="H159" s="315">
        <f>SUM(H160:H163)</f>
        <v>161850</v>
      </c>
      <c r="I159" s="339">
        <f t="shared" ref="I159:K159" si="201">SUM(I160:I163)</f>
        <v>161850</v>
      </c>
      <c r="J159" s="339">
        <f t="shared" si="201"/>
        <v>0</v>
      </c>
      <c r="K159" s="480">
        <f t="shared" si="201"/>
        <v>0</v>
      </c>
      <c r="L159" s="315">
        <f>SUM(L160:L163)</f>
        <v>312050</v>
      </c>
      <c r="M159" s="309">
        <f t="shared" ref="M159:O159" si="202">SUM(M160:M163)</f>
        <v>312050</v>
      </c>
      <c r="N159" s="309">
        <f t="shared" si="202"/>
        <v>0</v>
      </c>
      <c r="O159" s="338">
        <f t="shared" si="202"/>
        <v>0</v>
      </c>
      <c r="P159" s="315">
        <f>SUM(P160:P163)</f>
        <v>313742.58999999997</v>
      </c>
      <c r="Q159" s="309">
        <f t="shared" ref="Q159:S159" si="203">SUM(Q160:Q163)</f>
        <v>313742.58999999997</v>
      </c>
      <c r="R159" s="309">
        <f t="shared" si="203"/>
        <v>0</v>
      </c>
      <c r="S159" s="310">
        <f t="shared" si="203"/>
        <v>0</v>
      </c>
    </row>
    <row r="160" spans="1:19" ht="15.75" x14ac:dyDescent="0.25">
      <c r="A160" s="159"/>
      <c r="B160" s="344">
        <v>1</v>
      </c>
      <c r="C160" s="346" t="s">
        <v>349</v>
      </c>
      <c r="D160" s="315">
        <f>SUM(E160:G160)</f>
        <v>122610</v>
      </c>
      <c r="E160" s="309">
        <f>'[1]13. Sociálna starostlivosť'!$T$11</f>
        <v>122610</v>
      </c>
      <c r="F160" s="309">
        <f>'[1]13. Sociálna starostlivosť'!$U$11</f>
        <v>0</v>
      </c>
      <c r="G160" s="338">
        <f>'[1]13. Sociálna starostlivosť'!$V$11</f>
        <v>0</v>
      </c>
      <c r="H160" s="315">
        <f>SUM(I160:K160)</f>
        <v>61350</v>
      </c>
      <c r="I160" s="339">
        <f>'[2]13. Sociálna starostlivosť'!$N$15</f>
        <v>61350</v>
      </c>
      <c r="J160" s="339">
        <f>'[2]13. Sociálna starostlivosť'!$O$15</f>
        <v>0</v>
      </c>
      <c r="K160" s="480">
        <f>'[2]13. Sociálna starostlivosť'!$P$15</f>
        <v>0</v>
      </c>
      <c r="L160" s="315">
        <f>SUM(M160:O160)</f>
        <v>218630</v>
      </c>
      <c r="M160" s="309">
        <f>'[2]13. Sociálna starostlivosť'!$Q$15</f>
        <v>218630</v>
      </c>
      <c r="N160" s="309">
        <f>'[2]13. Sociálna starostlivosť'!$R$15</f>
        <v>0</v>
      </c>
      <c r="O160" s="338">
        <f>'[2]13. Sociálna starostlivosť'!$S$15</f>
        <v>0</v>
      </c>
      <c r="P160" s="315">
        <f>SUM(Q160:S160)</f>
        <v>218630</v>
      </c>
      <c r="Q160" s="309">
        <f>'[2]13. Sociálna starostlivosť'!$T$15</f>
        <v>218630</v>
      </c>
      <c r="R160" s="309">
        <f>'[2]13. Sociálna starostlivosť'!$U$15</f>
        <v>0</v>
      </c>
      <c r="S160" s="310">
        <f>'[2]13. Sociálna starostlivosť'!$V$15</f>
        <v>0</v>
      </c>
    </row>
    <row r="161" spans="1:19" ht="15.75" x14ac:dyDescent="0.25">
      <c r="A161" s="159"/>
      <c r="B161" s="344">
        <v>2</v>
      </c>
      <c r="C161" s="346" t="s">
        <v>350</v>
      </c>
      <c r="D161" s="315">
        <f>SUM(E161:G161)</f>
        <v>55020</v>
      </c>
      <c r="E161" s="309">
        <f>'[1]13. Sociálna starostlivosť'!$T$17</f>
        <v>55020</v>
      </c>
      <c r="F161" s="309">
        <f>'[1]13. Sociálna starostlivosť'!$U$17</f>
        <v>0</v>
      </c>
      <c r="G161" s="338">
        <f>'[1]13. Sociálna starostlivosť'!$V$17</f>
        <v>0</v>
      </c>
      <c r="H161" s="315">
        <f t="shared" ref="H161:H163" si="204">SUM(I161:K161)</f>
        <v>57070</v>
      </c>
      <c r="I161" s="339">
        <f>'[2]13. Sociálna starostlivosť'!$N$18</f>
        <v>57070</v>
      </c>
      <c r="J161" s="339">
        <f>'[2]13. Sociálna starostlivosť'!$O$18</f>
        <v>0</v>
      </c>
      <c r="K161" s="480">
        <f>'[2]13. Sociálna starostlivosť'!$P$18</f>
        <v>0</v>
      </c>
      <c r="L161" s="315">
        <f t="shared" ref="L161:L163" si="205">SUM(M161:O161)</f>
        <v>57710</v>
      </c>
      <c r="M161" s="309">
        <f>'[2]13. Sociálna starostlivosť'!$Q$18</f>
        <v>57710</v>
      </c>
      <c r="N161" s="309">
        <f>'[2]13. Sociálna starostlivosť'!$R$18</f>
        <v>0</v>
      </c>
      <c r="O161" s="338">
        <f>'[2]13. Sociálna starostlivosť'!$S$18</f>
        <v>0</v>
      </c>
      <c r="P161" s="315">
        <f t="shared" ref="P161:P163" si="206">SUM(Q161:S161)</f>
        <v>57710</v>
      </c>
      <c r="Q161" s="309">
        <f>'[2]13. Sociálna starostlivosť'!$T$18</f>
        <v>57710</v>
      </c>
      <c r="R161" s="309">
        <f>'[2]13. Sociálna starostlivosť'!$U$18</f>
        <v>0</v>
      </c>
      <c r="S161" s="310">
        <f>'[2]13. Sociálna starostlivosť'!$V$18</f>
        <v>0</v>
      </c>
    </row>
    <row r="162" spans="1:19" ht="15.75" x14ac:dyDescent="0.25">
      <c r="A162" s="159"/>
      <c r="B162" s="344">
        <v>3</v>
      </c>
      <c r="C162" s="346" t="s">
        <v>351</v>
      </c>
      <c r="D162" s="315">
        <f>SUM(E162:G162)</f>
        <v>5079.0600000000004</v>
      </c>
      <c r="E162" s="309">
        <f>'[1]13. Sociálna starostlivosť'!$T$19</f>
        <v>5079.0600000000004</v>
      </c>
      <c r="F162" s="309">
        <f>'[1]13. Sociálna starostlivosť'!$U$19</f>
        <v>0</v>
      </c>
      <c r="G162" s="338">
        <f>'[1]13. Sociálna starostlivosť'!$V$19</f>
        <v>0</v>
      </c>
      <c r="H162" s="315">
        <f t="shared" si="204"/>
        <v>0</v>
      </c>
      <c r="I162" s="339">
        <f>'[2]13. Sociálna starostlivosť'!$N$20</f>
        <v>0</v>
      </c>
      <c r="J162" s="339">
        <f>'[2]13. Sociálna starostlivosť'!$O$20</f>
        <v>0</v>
      </c>
      <c r="K162" s="480">
        <f>'[2]13. Sociálna starostlivosť'!$P$20</f>
        <v>0</v>
      </c>
      <c r="L162" s="315">
        <f t="shared" si="205"/>
        <v>0</v>
      </c>
      <c r="M162" s="309">
        <f>'[2]13. Sociálna starostlivosť'!$Q$20</f>
        <v>0</v>
      </c>
      <c r="N162" s="309">
        <f>'[2]13. Sociálna starostlivosť'!$R$20</f>
        <v>0</v>
      </c>
      <c r="O162" s="338">
        <f>'[2]13. Sociálna starostlivosť'!$S$20</f>
        <v>0</v>
      </c>
      <c r="P162" s="315">
        <f t="shared" si="206"/>
        <v>0</v>
      </c>
      <c r="Q162" s="309">
        <f>'[2]13. Sociálna starostlivosť'!$T$20</f>
        <v>0</v>
      </c>
      <c r="R162" s="309">
        <f>'[2]13. Sociálna starostlivosť'!$U$20</f>
        <v>0</v>
      </c>
      <c r="S162" s="310">
        <f>'[2]13. Sociálna starostlivosť'!$V$20</f>
        <v>0</v>
      </c>
    </row>
    <row r="163" spans="1:19" ht="15.75" x14ac:dyDescent="0.25">
      <c r="A163" s="159"/>
      <c r="B163" s="344">
        <v>4</v>
      </c>
      <c r="C163" s="346" t="s">
        <v>352</v>
      </c>
      <c r="D163" s="315">
        <f>SUM(E163:G163)</f>
        <v>48572</v>
      </c>
      <c r="E163" s="309">
        <v>48572</v>
      </c>
      <c r="F163" s="309">
        <f>'[1]13. Sociálna starostlivosť'!$U$21</f>
        <v>0</v>
      </c>
      <c r="G163" s="338">
        <f>'[1]13. Sociálna starostlivosť'!$V$21</f>
        <v>0</v>
      </c>
      <c r="H163" s="315">
        <f t="shared" si="204"/>
        <v>43430</v>
      </c>
      <c r="I163" s="339">
        <f>'[2]13. Sociálna starostlivosť'!$N$22</f>
        <v>43430</v>
      </c>
      <c r="J163" s="339">
        <f>'[2]13. Sociálna starostlivosť'!$O$22</f>
        <v>0</v>
      </c>
      <c r="K163" s="480">
        <f>'[2]13. Sociálna starostlivosť'!$P$22</f>
        <v>0</v>
      </c>
      <c r="L163" s="315">
        <f t="shared" si="205"/>
        <v>35710</v>
      </c>
      <c r="M163" s="309">
        <f>'[2]13. Sociálna starostlivosť'!$Q$22</f>
        <v>35710</v>
      </c>
      <c r="N163" s="309">
        <f>'[2]13. Sociálna starostlivosť'!$R$22</f>
        <v>0</v>
      </c>
      <c r="O163" s="338">
        <f>'[2]13. Sociálna starostlivosť'!$S$22</f>
        <v>0</v>
      </c>
      <c r="P163" s="315">
        <f t="shared" si="206"/>
        <v>37402.589999999997</v>
      </c>
      <c r="Q163" s="309">
        <f>'[2]13. Sociálna starostlivosť'!$T$22</f>
        <v>37402.589999999997</v>
      </c>
      <c r="R163" s="309">
        <f>'[2]13. Sociálna starostlivosť'!$U$22</f>
        <v>0</v>
      </c>
      <c r="S163" s="310">
        <f>'[2]13. Sociálna starostlivosť'!$V$22</f>
        <v>0</v>
      </c>
    </row>
    <row r="164" spans="1:19" ht="15.75" x14ac:dyDescent="0.25">
      <c r="A164" s="154"/>
      <c r="B164" s="357" t="s">
        <v>353</v>
      </c>
      <c r="C164" s="346" t="s">
        <v>354</v>
      </c>
      <c r="D164" s="315">
        <f t="shared" ref="D164:G164" si="207">SUM(D165:D168)</f>
        <v>878866.44</v>
      </c>
      <c r="E164" s="309">
        <f t="shared" si="207"/>
        <v>528777.09</v>
      </c>
      <c r="F164" s="309">
        <f t="shared" si="207"/>
        <v>92155</v>
      </c>
      <c r="G164" s="338">
        <f t="shared" si="207"/>
        <v>257934.35</v>
      </c>
      <c r="H164" s="315">
        <f>SUM(H165:H168)</f>
        <v>819092.1</v>
      </c>
      <c r="I164" s="339">
        <f t="shared" ref="I164:K164" si="208">SUM(I165:I168)</f>
        <v>817757.46</v>
      </c>
      <c r="J164" s="339">
        <f t="shared" si="208"/>
        <v>1334.64</v>
      </c>
      <c r="K164" s="480">
        <f t="shared" si="208"/>
        <v>0</v>
      </c>
      <c r="L164" s="315">
        <f>SUM(L165:L168)</f>
        <v>1130139</v>
      </c>
      <c r="M164" s="309">
        <f t="shared" ref="M164:O164" si="209">SUM(M165:M168)</f>
        <v>1100714</v>
      </c>
      <c r="N164" s="309">
        <f t="shared" si="209"/>
        <v>29425</v>
      </c>
      <c r="O164" s="338">
        <f t="shared" si="209"/>
        <v>0</v>
      </c>
      <c r="P164" s="315">
        <f>SUM(P165:P168)</f>
        <v>1065042.4300000002</v>
      </c>
      <c r="Q164" s="309">
        <f t="shared" ref="Q164:S164" si="210">SUM(Q165:Q168)</f>
        <v>1035788.43</v>
      </c>
      <c r="R164" s="309">
        <f t="shared" si="210"/>
        <v>29254</v>
      </c>
      <c r="S164" s="310">
        <f t="shared" si="210"/>
        <v>0</v>
      </c>
    </row>
    <row r="165" spans="1:19" ht="15.75" x14ac:dyDescent="0.25">
      <c r="A165" s="155"/>
      <c r="B165" s="344">
        <v>1</v>
      </c>
      <c r="C165" s="346" t="s">
        <v>355</v>
      </c>
      <c r="D165" s="315">
        <f>SUM(E165:G165)</f>
        <v>40850</v>
      </c>
      <c r="E165" s="309">
        <f>'[1]13. Sociálna starostlivosť'!$T$25</f>
        <v>40850</v>
      </c>
      <c r="F165" s="309">
        <f>'[1]13. Sociálna starostlivosť'!$U$25</f>
        <v>0</v>
      </c>
      <c r="G165" s="338">
        <f>'[1]13. Sociálna starostlivosť'!$V$25</f>
        <v>0</v>
      </c>
      <c r="H165" s="315">
        <f>SUM(I165:K165)</f>
        <v>32300</v>
      </c>
      <c r="I165" s="339">
        <f>'[2]13. Sociálna starostlivosť'!$N$26</f>
        <v>32300</v>
      </c>
      <c r="J165" s="339">
        <f>'[2]13. Sociálna starostlivosť'!$O$26</f>
        <v>0</v>
      </c>
      <c r="K165" s="480">
        <f>'[2]13. Sociálna starostlivosť'!$P$26</f>
        <v>0</v>
      </c>
      <c r="L165" s="315">
        <f>SUM(M165:O165)</f>
        <v>41200</v>
      </c>
      <c r="M165" s="309">
        <f>'[2]13. Sociálna starostlivosť'!$Q$26</f>
        <v>41200</v>
      </c>
      <c r="N165" s="309">
        <f>'[2]13. Sociálna starostlivosť'!$R$26</f>
        <v>0</v>
      </c>
      <c r="O165" s="338">
        <f>'[2]13. Sociálna starostlivosť'!$S$26</f>
        <v>0</v>
      </c>
      <c r="P165" s="315">
        <f>SUM(Q165:S165)</f>
        <v>36200</v>
      </c>
      <c r="Q165" s="309">
        <f>'[2]13. Sociálna starostlivosť'!$T$26</f>
        <v>36200</v>
      </c>
      <c r="R165" s="309">
        <f>'[2]13. Sociálna starostlivosť'!$U$26</f>
        <v>0</v>
      </c>
      <c r="S165" s="310">
        <f>'[2]13. Sociálna starostlivosť'!$V$26</f>
        <v>0</v>
      </c>
    </row>
    <row r="166" spans="1:19" ht="15.75" x14ac:dyDescent="0.25">
      <c r="A166" s="155"/>
      <c r="B166" s="344">
        <v>2</v>
      </c>
      <c r="C166" s="346" t="s">
        <v>356</v>
      </c>
      <c r="D166" s="315">
        <f>SUM(E166:G166)</f>
        <v>6130</v>
      </c>
      <c r="E166" s="309">
        <f>'[1]13. Sociálna starostlivosť'!$T$27</f>
        <v>6130</v>
      </c>
      <c r="F166" s="309">
        <f>'[1]13. Sociálna starostlivosť'!$U$27</f>
        <v>0</v>
      </c>
      <c r="G166" s="338">
        <f>'[1]13. Sociálna starostlivosť'!$V$27</f>
        <v>0</v>
      </c>
      <c r="H166" s="315">
        <f t="shared" ref="H166:H168" si="211">SUM(I166:K166)</f>
        <v>23460</v>
      </c>
      <c r="I166" s="339">
        <f>'[2]13. Sociálna starostlivosť'!$N$29</f>
        <v>23460</v>
      </c>
      <c r="J166" s="339">
        <f>'[2]13. Sociálna starostlivosť'!$O$29</f>
        <v>0</v>
      </c>
      <c r="K166" s="480">
        <f>'[2]13. Sociálna starostlivosť'!$P$29</f>
        <v>0</v>
      </c>
      <c r="L166" s="315">
        <f t="shared" ref="L166:L168" si="212">SUM(M166:O166)</f>
        <v>0</v>
      </c>
      <c r="M166" s="309">
        <f>'[2]13. Sociálna starostlivosť'!$Q$29</f>
        <v>0</v>
      </c>
      <c r="N166" s="309">
        <f>'[2]13. Sociálna starostlivosť'!$R$29</f>
        <v>0</v>
      </c>
      <c r="O166" s="338">
        <f>'[2]13. Sociálna starostlivosť'!$S$29</f>
        <v>0</v>
      </c>
      <c r="P166" s="315">
        <f t="shared" ref="P166:P168" si="213">SUM(Q166:S166)</f>
        <v>0</v>
      </c>
      <c r="Q166" s="309">
        <f>'[2]13. Sociálna starostlivosť'!$T$29</f>
        <v>0</v>
      </c>
      <c r="R166" s="309">
        <f>'[2]13. Sociálna starostlivosť'!$U$29</f>
        <v>0</v>
      </c>
      <c r="S166" s="310">
        <f>'[2]13. Sociálna starostlivosť'!$V$29</f>
        <v>0</v>
      </c>
    </row>
    <row r="167" spans="1:19" ht="15.75" x14ac:dyDescent="0.25">
      <c r="A167" s="159"/>
      <c r="B167" s="344">
        <v>3</v>
      </c>
      <c r="C167" s="346" t="s">
        <v>497</v>
      </c>
      <c r="D167" s="315">
        <f>SUM(E167:G167)</f>
        <v>733686.44</v>
      </c>
      <c r="E167" s="309">
        <f>'[1]13. Sociálna starostlivosť'!$T$29</f>
        <v>383597.08999999997</v>
      </c>
      <c r="F167" s="309">
        <f>'[1]13. Sociálna starostlivosť'!$U$29</f>
        <v>92155</v>
      </c>
      <c r="G167" s="338">
        <f>'[1]13. Sociálna starostlivosť'!$V$29</f>
        <v>257934.35</v>
      </c>
      <c r="H167" s="315">
        <f t="shared" si="211"/>
        <v>673032.1</v>
      </c>
      <c r="I167" s="339">
        <f>'[2]13. Sociálna starostlivosť'!$N$31</f>
        <v>671697.46</v>
      </c>
      <c r="J167" s="339">
        <f>'[2]13. Sociálna starostlivosť'!$O$31</f>
        <v>1334.64</v>
      </c>
      <c r="K167" s="480">
        <f>'[2]13. Sociálna starostlivosť'!$P$31</f>
        <v>0</v>
      </c>
      <c r="L167" s="315">
        <f t="shared" si="212"/>
        <v>957769</v>
      </c>
      <c r="M167" s="309">
        <f>'[2]13. Sociálna starostlivosť'!$Q$31</f>
        <v>928344</v>
      </c>
      <c r="N167" s="309">
        <f>'[2]13. Sociálna starostlivosť'!$R$31</f>
        <v>29425</v>
      </c>
      <c r="O167" s="338">
        <f>'[2]13. Sociálna starostlivosť'!$S$31</f>
        <v>0</v>
      </c>
      <c r="P167" s="315">
        <f t="shared" si="213"/>
        <v>897668.43</v>
      </c>
      <c r="Q167" s="309">
        <f>'[2]13. Sociálna starostlivosť'!$T$31</f>
        <v>868414.43</v>
      </c>
      <c r="R167" s="309">
        <f>'[2]13. Sociálna starostlivosť'!$U$31</f>
        <v>29254</v>
      </c>
      <c r="S167" s="310">
        <f>'[2]13. Sociálna starostlivosť'!$V$31</f>
        <v>0</v>
      </c>
    </row>
    <row r="168" spans="1:19" ht="15.75" x14ac:dyDescent="0.25">
      <c r="A168" s="159"/>
      <c r="B168" s="344">
        <v>4</v>
      </c>
      <c r="C168" s="346" t="s">
        <v>498</v>
      </c>
      <c r="D168" s="315">
        <f>SUM(E168:G168)</f>
        <v>98200</v>
      </c>
      <c r="E168" s="309">
        <f>'[1]13. Sociálna starostlivosť'!$T$46</f>
        <v>98200</v>
      </c>
      <c r="F168" s="309">
        <f>'[1]13. Sociálna starostlivosť'!$U$46</f>
        <v>0</v>
      </c>
      <c r="G168" s="338">
        <f>'[1]13. Sociálna starostlivosť'!$V$46</f>
        <v>0</v>
      </c>
      <c r="H168" s="315">
        <f t="shared" si="211"/>
        <v>90300</v>
      </c>
      <c r="I168" s="339">
        <f>'[2]13. Sociálna starostlivosť'!$N$47</f>
        <v>90300</v>
      </c>
      <c r="J168" s="339">
        <f>'[2]13. Sociálna starostlivosť'!$O$47</f>
        <v>0</v>
      </c>
      <c r="K168" s="480">
        <f>'[2]13. Sociálna starostlivosť'!$P$47</f>
        <v>0</v>
      </c>
      <c r="L168" s="315">
        <f t="shared" si="212"/>
        <v>131170</v>
      </c>
      <c r="M168" s="309">
        <f>'[2]13. Sociálna starostlivosť'!$Q$47</f>
        <v>131170</v>
      </c>
      <c r="N168" s="309">
        <f>'[2]13. Sociálna starostlivosť'!$R$47</f>
        <v>0</v>
      </c>
      <c r="O168" s="338">
        <f>'[2]13. Sociálna starostlivosť'!$S$47</f>
        <v>0</v>
      </c>
      <c r="P168" s="315">
        <f t="shared" si="213"/>
        <v>131174</v>
      </c>
      <c r="Q168" s="309">
        <f>'[2]13. Sociálna starostlivosť'!$T$47</f>
        <v>131174</v>
      </c>
      <c r="R168" s="309">
        <f>'[2]13. Sociálna starostlivosť'!$U$47</f>
        <v>0</v>
      </c>
      <c r="S168" s="310">
        <f>'[2]13. Sociálna starostlivosť'!$V$47</f>
        <v>0</v>
      </c>
    </row>
    <row r="169" spans="1:19" ht="15.75" x14ac:dyDescent="0.25">
      <c r="A169" s="155"/>
      <c r="B169" s="357" t="s">
        <v>358</v>
      </c>
      <c r="C169" s="346" t="s">
        <v>359</v>
      </c>
      <c r="D169" s="315">
        <f t="shared" ref="D169:G169" si="214">SUM(D170:D172)</f>
        <v>55200.160000000003</v>
      </c>
      <c r="E169" s="309">
        <f t="shared" si="214"/>
        <v>55200.160000000003</v>
      </c>
      <c r="F169" s="309">
        <f t="shared" si="214"/>
        <v>0</v>
      </c>
      <c r="G169" s="338">
        <f t="shared" si="214"/>
        <v>0</v>
      </c>
      <c r="H169" s="315">
        <f>SUM(H170:H172)</f>
        <v>76870</v>
      </c>
      <c r="I169" s="339">
        <f t="shared" ref="I169:K169" si="215">SUM(I170:I172)</f>
        <v>76870</v>
      </c>
      <c r="J169" s="339">
        <f t="shared" si="215"/>
        <v>0</v>
      </c>
      <c r="K169" s="480">
        <f t="shared" si="215"/>
        <v>0</v>
      </c>
      <c r="L169" s="315">
        <f>SUM(L170:L172)</f>
        <v>90840</v>
      </c>
      <c r="M169" s="309">
        <f t="shared" ref="M169:O169" si="216">SUM(M170:M172)</f>
        <v>90840</v>
      </c>
      <c r="N169" s="309">
        <f t="shared" si="216"/>
        <v>0</v>
      </c>
      <c r="O169" s="338">
        <f t="shared" si="216"/>
        <v>0</v>
      </c>
      <c r="P169" s="315">
        <f>SUM(P170:P172)</f>
        <v>90840</v>
      </c>
      <c r="Q169" s="309">
        <f t="shared" ref="Q169:S169" si="217">SUM(Q170:Q172)</f>
        <v>90840</v>
      </c>
      <c r="R169" s="309">
        <f t="shared" si="217"/>
        <v>0</v>
      </c>
      <c r="S169" s="310">
        <f t="shared" si="217"/>
        <v>0</v>
      </c>
    </row>
    <row r="170" spans="1:19" ht="15.75" x14ac:dyDescent="0.25">
      <c r="A170" s="155"/>
      <c r="B170" s="344">
        <v>1</v>
      </c>
      <c r="C170" s="346" t="s">
        <v>360</v>
      </c>
      <c r="D170" s="315">
        <f>SUM(E170:G170)</f>
        <v>27710.16</v>
      </c>
      <c r="E170" s="309">
        <f>'[1]13. Sociálna starostlivosť'!$T$50</f>
        <v>27710.16</v>
      </c>
      <c r="F170" s="309">
        <f>'[1]13. Sociálna starostlivosť'!$U$50</f>
        <v>0</v>
      </c>
      <c r="G170" s="338">
        <f>'[1]13. Sociálna starostlivosť'!$V$50</f>
        <v>0</v>
      </c>
      <c r="H170" s="315">
        <f>SUM(I170:K170)</f>
        <v>36040</v>
      </c>
      <c r="I170" s="339">
        <f>'[2]13. Sociálna starostlivosť'!$N$52</f>
        <v>36040</v>
      </c>
      <c r="J170" s="339">
        <f>'[2]13. Sociálna starostlivosť'!$O$52</f>
        <v>0</v>
      </c>
      <c r="K170" s="480">
        <f>'[2]13. Sociálna starostlivosť'!$P$52</f>
        <v>0</v>
      </c>
      <c r="L170" s="315">
        <f>SUM(M170:O170)</f>
        <v>41940</v>
      </c>
      <c r="M170" s="309">
        <f>'[2]13. Sociálna starostlivosť'!$Q$52</f>
        <v>41940</v>
      </c>
      <c r="N170" s="309">
        <f>'[2]13. Sociálna starostlivosť'!$R$52</f>
        <v>0</v>
      </c>
      <c r="O170" s="338">
        <f>'[2]13. Sociálna starostlivosť'!$S$52</f>
        <v>0</v>
      </c>
      <c r="P170" s="315">
        <f>SUM(Q170:S170)</f>
        <v>41940</v>
      </c>
      <c r="Q170" s="309">
        <f>'[2]13. Sociálna starostlivosť'!$T$52</f>
        <v>41940</v>
      </c>
      <c r="R170" s="309">
        <f>'[2]13. Sociálna starostlivosť'!$U$52</f>
        <v>0</v>
      </c>
      <c r="S170" s="310">
        <f>'[2]13. Sociálna starostlivosť'!$V$52</f>
        <v>0</v>
      </c>
    </row>
    <row r="171" spans="1:19" ht="15.75" x14ac:dyDescent="0.25">
      <c r="A171" s="155"/>
      <c r="B171" s="344">
        <v>2</v>
      </c>
      <c r="C171" s="346" t="s">
        <v>791</v>
      </c>
      <c r="D171" s="315">
        <f>SUM(E171:G171)</f>
        <v>0</v>
      </c>
      <c r="E171" s="309">
        <f>'[1]13. Sociálna starostlivosť'!$T$54</f>
        <v>0</v>
      </c>
      <c r="F171" s="309">
        <f>'[1]13. Sociálna starostlivosť'!$U$54</f>
        <v>0</v>
      </c>
      <c r="G171" s="338">
        <f>'[1]13. Sociálna starostlivosť'!$V$54</f>
        <v>0</v>
      </c>
      <c r="H171" s="315">
        <f t="shared" ref="H171:H174" si="218">SUM(I171:K171)</f>
        <v>640</v>
      </c>
      <c r="I171" s="339">
        <f>'[2]13. Sociálna starostlivosť'!$N$56</f>
        <v>640</v>
      </c>
      <c r="J171" s="339">
        <f>'[2]13. Sociálna starostlivosť'!$O$56</f>
        <v>0</v>
      </c>
      <c r="K171" s="480">
        <f>'[2]13. Sociálna starostlivosť'!$P$56</f>
        <v>0</v>
      </c>
      <c r="L171" s="315">
        <f t="shared" ref="L171:L174" si="219">SUM(M171:O171)</f>
        <v>4300</v>
      </c>
      <c r="M171" s="309">
        <f>'[2]13. Sociálna starostlivosť'!$Q$56</f>
        <v>4300</v>
      </c>
      <c r="N171" s="309">
        <f>'[2]13. Sociálna starostlivosť'!$R$56</f>
        <v>0</v>
      </c>
      <c r="O171" s="338">
        <f>'[2]13. Sociálna starostlivosť'!$S$56</f>
        <v>0</v>
      </c>
      <c r="P171" s="315">
        <f t="shared" ref="P171:P174" si="220">SUM(Q171:S171)</f>
        <v>4300</v>
      </c>
      <c r="Q171" s="309">
        <f>'[2]13. Sociálna starostlivosť'!$T$56</f>
        <v>4300</v>
      </c>
      <c r="R171" s="309">
        <f>'[2]13. Sociálna starostlivosť'!$U$56</f>
        <v>0</v>
      </c>
      <c r="S171" s="310">
        <f>'[2]13. Sociálna starostlivosť'!$V$56</f>
        <v>0</v>
      </c>
    </row>
    <row r="172" spans="1:19" ht="15.75" x14ac:dyDescent="0.25">
      <c r="A172" s="155"/>
      <c r="B172" s="344">
        <v>3</v>
      </c>
      <c r="C172" s="346" t="s">
        <v>362</v>
      </c>
      <c r="D172" s="315">
        <f>SUM(E172:G172)</f>
        <v>27490</v>
      </c>
      <c r="E172" s="309">
        <v>27490</v>
      </c>
      <c r="F172" s="309">
        <f>'[1]13. Sociálna starostlivosť'!$U$56</f>
        <v>0</v>
      </c>
      <c r="G172" s="338">
        <f>'[1]13. Sociálna starostlivosť'!$V$56</f>
        <v>0</v>
      </c>
      <c r="H172" s="315">
        <f t="shared" si="218"/>
        <v>40190</v>
      </c>
      <c r="I172" s="339">
        <f>'[2]13. Sociálna starostlivosť'!$N$58</f>
        <v>40190</v>
      </c>
      <c r="J172" s="339">
        <f>'[2]13. Sociálna starostlivosť'!$O$58</f>
        <v>0</v>
      </c>
      <c r="K172" s="480">
        <f>'[2]13. Sociálna starostlivosť'!$P$58</f>
        <v>0</v>
      </c>
      <c r="L172" s="315">
        <f t="shared" si="219"/>
        <v>44600</v>
      </c>
      <c r="M172" s="309">
        <f>'[2]13. Sociálna starostlivosť'!$Q$58</f>
        <v>44600</v>
      </c>
      <c r="N172" s="309">
        <f>'[2]13. Sociálna starostlivosť'!$R$58</f>
        <v>0</v>
      </c>
      <c r="O172" s="338">
        <f>'[2]13. Sociálna starostlivosť'!$S$58</f>
        <v>0</v>
      </c>
      <c r="P172" s="315">
        <f t="shared" si="220"/>
        <v>44600</v>
      </c>
      <c r="Q172" s="309">
        <f>'[2]13. Sociálna starostlivosť'!$T$58</f>
        <v>44600</v>
      </c>
      <c r="R172" s="309">
        <f>'[2]13. Sociálna starostlivosť'!$U$58</f>
        <v>0</v>
      </c>
      <c r="S172" s="310">
        <f>'[2]13. Sociálna starostlivosť'!$V$58</f>
        <v>0</v>
      </c>
    </row>
    <row r="173" spans="1:19" ht="15.75" x14ac:dyDescent="0.25">
      <c r="A173" s="155"/>
      <c r="B173" s="357" t="s">
        <v>363</v>
      </c>
      <c r="C173" s="346" t="s">
        <v>364</v>
      </c>
      <c r="D173" s="315">
        <f>SUM(E173:G173)</f>
        <v>5890</v>
      </c>
      <c r="E173" s="309">
        <f>'[1]13. Sociálna starostlivosť'!$T$59</f>
        <v>5890</v>
      </c>
      <c r="F173" s="309">
        <f>'[1]13. Sociálna starostlivosť'!$U$59</f>
        <v>0</v>
      </c>
      <c r="G173" s="338">
        <f>'[1]13. Sociálna starostlivosť'!$V$59</f>
        <v>0</v>
      </c>
      <c r="H173" s="315">
        <f t="shared" si="218"/>
        <v>4670</v>
      </c>
      <c r="I173" s="339">
        <f>'[2]13. Sociálna starostlivosť'!$N$61</f>
        <v>4670</v>
      </c>
      <c r="J173" s="339">
        <f>'[2]13. Sociálna starostlivosť'!$O$61</f>
        <v>0</v>
      </c>
      <c r="K173" s="480">
        <f>'[2]13. Sociálna starostlivosť'!$P$61</f>
        <v>0</v>
      </c>
      <c r="L173" s="315">
        <f t="shared" si="219"/>
        <v>5620</v>
      </c>
      <c r="M173" s="309">
        <f>'[2]13. Sociálna starostlivosť'!$Q$61</f>
        <v>5620</v>
      </c>
      <c r="N173" s="309">
        <f>'[2]13. Sociálna starostlivosť'!$R$61</f>
        <v>0</v>
      </c>
      <c r="O173" s="338">
        <f>'[2]13. Sociálna starostlivosť'!$S$61</f>
        <v>0</v>
      </c>
      <c r="P173" s="315">
        <f t="shared" si="220"/>
        <v>5620</v>
      </c>
      <c r="Q173" s="309">
        <f>'[2]13. Sociálna starostlivosť'!$T$61</f>
        <v>5620</v>
      </c>
      <c r="R173" s="309">
        <f>'[2]13. Sociálna starostlivosť'!$U$61</f>
        <v>0</v>
      </c>
      <c r="S173" s="310">
        <f>'[2]13. Sociálna starostlivosť'!$V$61</f>
        <v>0</v>
      </c>
    </row>
    <row r="174" spans="1:19" ht="15.75" x14ac:dyDescent="0.25">
      <c r="A174" s="158"/>
      <c r="B174" s="357" t="s">
        <v>365</v>
      </c>
      <c r="C174" s="346" t="s">
        <v>366</v>
      </c>
      <c r="D174" s="315">
        <f>SUM(E174:G174)</f>
        <v>10542.039999999999</v>
      </c>
      <c r="E174" s="309">
        <f>'[1]13. Sociálna starostlivosť'!$T$61</f>
        <v>10542.039999999999</v>
      </c>
      <c r="F174" s="309">
        <f>'[1]13. Sociálna starostlivosť'!$U$61</f>
        <v>0</v>
      </c>
      <c r="G174" s="338">
        <f>'[1]13. Sociálna starostlivosť'!$V$61</f>
        <v>0</v>
      </c>
      <c r="H174" s="315">
        <f t="shared" si="218"/>
        <v>510.2</v>
      </c>
      <c r="I174" s="339">
        <f>'[2]13. Sociálna starostlivosť'!$N$63</f>
        <v>510.2</v>
      </c>
      <c r="J174" s="339">
        <f>'[2]13. Sociálna starostlivosť'!$O$63</f>
        <v>0</v>
      </c>
      <c r="K174" s="480">
        <f>'[2]13. Sociálna starostlivosť'!$P$63</f>
        <v>0</v>
      </c>
      <c r="L174" s="315">
        <f t="shared" si="219"/>
        <v>13685</v>
      </c>
      <c r="M174" s="309">
        <f>'[2]13. Sociálna starostlivosť'!$Q$63</f>
        <v>13685</v>
      </c>
      <c r="N174" s="309">
        <f>'[2]13. Sociálna starostlivosť'!$R$63</f>
        <v>0</v>
      </c>
      <c r="O174" s="338">
        <f>'[2]13. Sociálna starostlivosť'!$S$63</f>
        <v>0</v>
      </c>
      <c r="P174" s="315">
        <f t="shared" si="220"/>
        <v>637.87</v>
      </c>
      <c r="Q174" s="309">
        <f>'[2]13. Sociálna starostlivosť'!$T$63</f>
        <v>637.87</v>
      </c>
      <c r="R174" s="309">
        <f>'[2]13. Sociálna starostlivosť'!$U$63</f>
        <v>0</v>
      </c>
      <c r="S174" s="310">
        <f>'[2]13. Sociálna starostlivosť'!$V$63</f>
        <v>0</v>
      </c>
    </row>
    <row r="175" spans="1:19" ht="15.75" x14ac:dyDescent="0.25">
      <c r="A175" s="155"/>
      <c r="B175" s="369" t="s">
        <v>367</v>
      </c>
      <c r="C175" s="363" t="s">
        <v>368</v>
      </c>
      <c r="D175" s="315">
        <f t="shared" ref="D175:G175" si="221">SUM(D176)</f>
        <v>26745.54</v>
      </c>
      <c r="E175" s="309">
        <f>SUM(E176)</f>
        <v>26745.54</v>
      </c>
      <c r="F175" s="309">
        <f t="shared" si="221"/>
        <v>0</v>
      </c>
      <c r="G175" s="338">
        <f t="shared" si="221"/>
        <v>0</v>
      </c>
      <c r="H175" s="315">
        <f>SUM(H176)</f>
        <v>21005.609999999997</v>
      </c>
      <c r="I175" s="339">
        <f t="shared" ref="I175:K175" si="222">SUM(I176)</f>
        <v>21005.609999999997</v>
      </c>
      <c r="J175" s="339">
        <f t="shared" si="222"/>
        <v>0</v>
      </c>
      <c r="K175" s="480">
        <f t="shared" si="222"/>
        <v>0</v>
      </c>
      <c r="L175" s="315">
        <f>SUM(L176)</f>
        <v>37076</v>
      </c>
      <c r="M175" s="309">
        <f t="shared" ref="M175:O175" si="223">SUM(M176)</f>
        <v>37076</v>
      </c>
      <c r="N175" s="309">
        <f t="shared" si="223"/>
        <v>0</v>
      </c>
      <c r="O175" s="338">
        <f t="shared" si="223"/>
        <v>0</v>
      </c>
      <c r="P175" s="315">
        <f>SUM(P176)</f>
        <v>30467.989999999998</v>
      </c>
      <c r="Q175" s="309">
        <f t="shared" ref="Q175:S175" si="224">SUM(Q176)</f>
        <v>30467.989999999998</v>
      </c>
      <c r="R175" s="309">
        <f t="shared" si="224"/>
        <v>0</v>
      </c>
      <c r="S175" s="310">
        <f t="shared" si="224"/>
        <v>0</v>
      </c>
    </row>
    <row r="176" spans="1:19" ht="15.75" x14ac:dyDescent="0.25">
      <c r="A176" s="155"/>
      <c r="B176" s="370">
        <v>1</v>
      </c>
      <c r="C176" s="371" t="s">
        <v>369</v>
      </c>
      <c r="D176" s="315">
        <f>SUM(E176:G176)</f>
        <v>26745.54</v>
      </c>
      <c r="E176" s="309">
        <f>'[1]13. Sociálna starostlivosť'!$T$73</f>
        <v>26745.54</v>
      </c>
      <c r="F176" s="309">
        <f>'[1]13. Sociálna starostlivosť'!$U$73</f>
        <v>0</v>
      </c>
      <c r="G176" s="338">
        <f>'[1]13. Sociálna starostlivosť'!$V$73</f>
        <v>0</v>
      </c>
      <c r="H176" s="315">
        <f>SUM(I176:K176)</f>
        <v>21005.609999999997</v>
      </c>
      <c r="I176" s="339">
        <f>'[2]13. Sociálna starostlivosť'!$N$75</f>
        <v>21005.609999999997</v>
      </c>
      <c r="J176" s="339">
        <f>'[2]13. Sociálna starostlivosť'!$O$75</f>
        <v>0</v>
      </c>
      <c r="K176" s="480">
        <f>'[2]13. Sociálna starostlivosť'!$P$75</f>
        <v>0</v>
      </c>
      <c r="L176" s="315">
        <f>SUM(M176:O176)</f>
        <v>37076</v>
      </c>
      <c r="M176" s="309">
        <f>'[2]13. Sociálna starostlivosť'!$Q$75</f>
        <v>37076</v>
      </c>
      <c r="N176" s="309">
        <f>'[2]13. Sociálna starostlivosť'!$R$75</f>
        <v>0</v>
      </c>
      <c r="O176" s="338">
        <f>'[2]13. Sociálna starostlivosť'!$S$75</f>
        <v>0</v>
      </c>
      <c r="P176" s="315">
        <f>SUM(Q176:S176)</f>
        <v>30467.989999999998</v>
      </c>
      <c r="Q176" s="309">
        <f>'[2]13. Sociálna starostlivosť'!$T$75</f>
        <v>30467.989999999998</v>
      </c>
      <c r="R176" s="309">
        <f>'[2]13. Sociálna starostlivosť'!$U$75</f>
        <v>0</v>
      </c>
      <c r="S176" s="310">
        <f>'[2]13. Sociálna starostlivosť'!$V$75</f>
        <v>0</v>
      </c>
    </row>
    <row r="177" spans="1:19" ht="15.75" x14ac:dyDescent="0.25">
      <c r="A177" s="158"/>
      <c r="B177" s="372" t="s">
        <v>370</v>
      </c>
      <c r="C177" s="371" t="s">
        <v>371</v>
      </c>
      <c r="D177" s="315">
        <f>SUM(E177:G177)</f>
        <v>0</v>
      </c>
      <c r="E177" s="309">
        <f>'[1]13. Sociálna starostlivosť'!$T$96</f>
        <v>0</v>
      </c>
      <c r="F177" s="309">
        <f>'[1]13. Sociálna starostlivosť'!$U$96</f>
        <v>0</v>
      </c>
      <c r="G177" s="338">
        <f>'[1]13. Sociálna starostlivosť'!$V$96</f>
        <v>0</v>
      </c>
      <c r="H177" s="315">
        <f t="shared" ref="H177:H178" si="225">SUM(I177:K177)</f>
        <v>0</v>
      </c>
      <c r="I177" s="339">
        <f>'[2]13. Sociálna starostlivosť'!$N$100</f>
        <v>0</v>
      </c>
      <c r="J177" s="339">
        <f>'[2]13. Sociálna starostlivosť'!$O$100</f>
        <v>0</v>
      </c>
      <c r="K177" s="480">
        <f>'[2]13. Sociálna starostlivosť'!$P$100</f>
        <v>0</v>
      </c>
      <c r="L177" s="315">
        <f t="shared" ref="L177:L178" si="226">SUM(M177:O177)</f>
        <v>0</v>
      </c>
      <c r="M177" s="309">
        <f>'[2]13. Sociálna starostlivosť'!$Q$100</f>
        <v>0</v>
      </c>
      <c r="N177" s="309">
        <f>'[2]13. Sociálna starostlivosť'!$R$100</f>
        <v>0</v>
      </c>
      <c r="O177" s="338">
        <f>'[2]13. Sociálna starostlivosť'!$S$100</f>
        <v>0</v>
      </c>
      <c r="P177" s="315">
        <f t="shared" ref="P177:P178" si="227">SUM(Q177:S177)</f>
        <v>0</v>
      </c>
      <c r="Q177" s="309">
        <f>'[2]13. Sociálna starostlivosť'!$T$100</f>
        <v>0</v>
      </c>
      <c r="R177" s="309">
        <f>'[2]13. Sociálna starostlivosť'!$U$100</f>
        <v>0</v>
      </c>
      <c r="S177" s="310">
        <f>'[2]13. Sociálna starostlivosť'!$V$100</f>
        <v>0</v>
      </c>
    </row>
    <row r="178" spans="1:19" ht="16.5" thickBot="1" x14ac:dyDescent="0.3">
      <c r="A178" s="158"/>
      <c r="B178" s="359" t="s">
        <v>395</v>
      </c>
      <c r="C178" s="504" t="s">
        <v>396</v>
      </c>
      <c r="D178" s="328">
        <f>SUM(E178:G178)</f>
        <v>94770.15</v>
      </c>
      <c r="E178" s="329">
        <f>'[1]13. Sociálna starostlivosť'!$T$98</f>
        <v>94770.15</v>
      </c>
      <c r="F178" s="329">
        <f>'[1]13. Sociálna starostlivosť'!$U$98</f>
        <v>0</v>
      </c>
      <c r="G178" s="435">
        <f>'[1]13. Sociálna starostlivosť'!$V$98</f>
        <v>0</v>
      </c>
      <c r="H178" s="328">
        <f t="shared" si="225"/>
        <v>94332.040000000008</v>
      </c>
      <c r="I178" s="452">
        <f>'[2]13. Sociálna starostlivosť'!$N$102</f>
        <v>94332.040000000008</v>
      </c>
      <c r="J178" s="452">
        <f>'[2]13. Sociálna starostlivosť'!$O$102</f>
        <v>0</v>
      </c>
      <c r="K178" s="481">
        <f>'[2]13. Sociálna starostlivosť'!$P$102</f>
        <v>0</v>
      </c>
      <c r="L178" s="328">
        <f t="shared" si="226"/>
        <v>100450</v>
      </c>
      <c r="M178" s="329">
        <f>'[2]13. Sociálna starostlivosť'!$Q$102</f>
        <v>100450</v>
      </c>
      <c r="N178" s="329">
        <f>'[2]13. Sociálna starostlivosť'!$R$102</f>
        <v>0</v>
      </c>
      <c r="O178" s="435">
        <f>'[2]13. Sociálna starostlivosť'!$S$102</f>
        <v>0</v>
      </c>
      <c r="P178" s="328">
        <f t="shared" si="227"/>
        <v>100450</v>
      </c>
      <c r="Q178" s="329">
        <f>'[2]13. Sociálna starostlivosť'!$T$102</f>
        <v>100450</v>
      </c>
      <c r="R178" s="329">
        <f>'[2]13. Sociálna starostlivosť'!$U$102</f>
        <v>0</v>
      </c>
      <c r="S178" s="330">
        <f>'[2]13. Sociálna starostlivosť'!$V$102</f>
        <v>0</v>
      </c>
    </row>
    <row r="179" spans="1:19" s="157" customFormat="1" ht="17.25" thickBot="1" x14ac:dyDescent="0.35">
      <c r="A179" s="159"/>
      <c r="B179" s="373" t="s">
        <v>372</v>
      </c>
      <c r="C179" s="374"/>
      <c r="D179" s="436">
        <f>SUM(E179:G179)</f>
        <v>362809.87</v>
      </c>
      <c r="E179" s="437">
        <f>'[1]14. Bývanie'!$T$22</f>
        <v>290134.67</v>
      </c>
      <c r="F179" s="437">
        <f>'[1]14. Bývanie'!$U$22</f>
        <v>0</v>
      </c>
      <c r="G179" s="477">
        <f>'[1]14. Bývanie'!$V$22</f>
        <v>72675.199999999997</v>
      </c>
      <c r="H179" s="509">
        <f>SUM(I179:K179)</f>
        <v>345431.94</v>
      </c>
      <c r="I179" s="510">
        <f>'[2]14. Bývanie'!$N$23</f>
        <v>283239.01</v>
      </c>
      <c r="J179" s="510">
        <f>'[2]14. Bývanie'!$O$23</f>
        <v>0</v>
      </c>
      <c r="K179" s="511">
        <f>'[2]14. Bývanie'!$P$23</f>
        <v>62192.93</v>
      </c>
      <c r="L179" s="509">
        <f>SUM(M179:O179)</f>
        <v>1900918</v>
      </c>
      <c r="M179" s="510">
        <f>'[2]14. Bývanie'!$Q$23</f>
        <v>306918</v>
      </c>
      <c r="N179" s="510">
        <f>'[2]14. Bývanie'!$R$23</f>
        <v>1514000</v>
      </c>
      <c r="O179" s="534">
        <f>'[2]14. Bývanie'!$S$23</f>
        <v>80000</v>
      </c>
      <c r="P179" s="509">
        <f>SUM(Q179:S179)</f>
        <v>1875036.38</v>
      </c>
      <c r="Q179" s="510">
        <f>'[2]14. Bývanie'!$T$23</f>
        <v>291370.23</v>
      </c>
      <c r="R179" s="510">
        <f>'[2]14. Bývanie'!$U$23</f>
        <v>1514000</v>
      </c>
      <c r="S179" s="511">
        <f>'[2]14. Bývanie'!$V$23</f>
        <v>69666.149999999994</v>
      </c>
    </row>
    <row r="180" spans="1:19" s="157" customFormat="1" ht="15.75" x14ac:dyDescent="0.25">
      <c r="A180" s="159"/>
      <c r="B180" s="349" t="s">
        <v>373</v>
      </c>
      <c r="C180" s="361"/>
      <c r="D180" s="376">
        <f t="shared" ref="D180:G180" si="228">SUM(D181:D183)</f>
        <v>1615806.92</v>
      </c>
      <c r="E180" s="377">
        <f t="shared" si="228"/>
        <v>1345530.89</v>
      </c>
      <c r="F180" s="377">
        <f t="shared" si="228"/>
        <v>0</v>
      </c>
      <c r="G180" s="478">
        <f t="shared" si="228"/>
        <v>270276.03000000003</v>
      </c>
      <c r="H180" s="332">
        <f>SUM(H181:H183)</f>
        <v>4810034.32</v>
      </c>
      <c r="I180" s="333">
        <f t="shared" ref="I180:K180" si="229">SUM(I181:I183)</f>
        <v>1556044.58</v>
      </c>
      <c r="J180" s="333">
        <f t="shared" si="229"/>
        <v>0</v>
      </c>
      <c r="K180" s="434">
        <f t="shared" si="229"/>
        <v>3253989.74</v>
      </c>
      <c r="L180" s="332">
        <f>SUM(L181:L183)</f>
        <v>2117384</v>
      </c>
      <c r="M180" s="333">
        <f t="shared" ref="M180:O180" si="230">SUM(M181:M183)</f>
        <v>1841520</v>
      </c>
      <c r="N180" s="333">
        <f t="shared" si="230"/>
        <v>49564</v>
      </c>
      <c r="O180" s="434">
        <f t="shared" si="230"/>
        <v>226300</v>
      </c>
      <c r="P180" s="332">
        <f>SUM(P181:P183)</f>
        <v>2003415.1800000002</v>
      </c>
      <c r="Q180" s="333">
        <f t="shared" ref="Q180:S180" si="231">SUM(Q181:Q183)</f>
        <v>1745893.84</v>
      </c>
      <c r="R180" s="333">
        <f t="shared" si="231"/>
        <v>31500</v>
      </c>
      <c r="S180" s="334">
        <f t="shared" si="231"/>
        <v>226021.34</v>
      </c>
    </row>
    <row r="181" spans="1:19" ht="15.75" x14ac:dyDescent="0.25">
      <c r="A181" s="155"/>
      <c r="B181" s="372" t="s">
        <v>429</v>
      </c>
      <c r="C181" s="371" t="s">
        <v>434</v>
      </c>
      <c r="D181" s="308">
        <f>SUM(E181:G181)</f>
        <v>1282205.96</v>
      </c>
      <c r="E181" s="307">
        <f>'[1]15. Administratíva'!$T$4</f>
        <v>1282205.96</v>
      </c>
      <c r="F181" s="307">
        <f>'[1]15. Administratíva'!$U$4</f>
        <v>0</v>
      </c>
      <c r="G181" s="325">
        <f>'[1]15. Administratíva'!$V$4</f>
        <v>0</v>
      </c>
      <c r="H181" s="315">
        <f>SUM(I181:K181)</f>
        <v>1502684.53</v>
      </c>
      <c r="I181" s="309">
        <f>'[2]15. Administratíva'!$N$4</f>
        <v>1502684.53</v>
      </c>
      <c r="J181" s="309">
        <f>'[2]15. Administratíva'!$O$4</f>
        <v>0</v>
      </c>
      <c r="K181" s="338">
        <f>'[2]15. Administratíva'!$P$4</f>
        <v>0</v>
      </c>
      <c r="L181" s="315">
        <f>SUM(M181:O181)</f>
        <v>1848924</v>
      </c>
      <c r="M181" s="309">
        <f>'[2]15. Administratíva'!$Q$4</f>
        <v>1799360</v>
      </c>
      <c r="N181" s="309">
        <f>'[2]15. Administratíva'!$R$4</f>
        <v>49564</v>
      </c>
      <c r="O181" s="338">
        <f>'[2]15. Administratíva'!$S$4</f>
        <v>0</v>
      </c>
      <c r="P181" s="315">
        <f>SUM(Q181:S181)</f>
        <v>1757690.7000000002</v>
      </c>
      <c r="Q181" s="309">
        <f>'[2]15. Administratíva'!$T$4</f>
        <v>1726190.7000000002</v>
      </c>
      <c r="R181" s="309">
        <f>'[2]15. Administratíva'!$U$4</f>
        <v>31500</v>
      </c>
      <c r="S181" s="310">
        <f>'[2]15. Administratíva'!$V$4</f>
        <v>0</v>
      </c>
    </row>
    <row r="182" spans="1:19" ht="15.75" x14ac:dyDescent="0.25">
      <c r="A182" s="155"/>
      <c r="B182" s="372" t="s">
        <v>430</v>
      </c>
      <c r="C182" s="371" t="s">
        <v>432</v>
      </c>
      <c r="D182" s="308">
        <f>SUM(E182:G182)</f>
        <v>0</v>
      </c>
      <c r="E182" s="307">
        <f>'[1]15. Administratíva'!$T$94</f>
        <v>0</v>
      </c>
      <c r="F182" s="307">
        <f>'[1]15. Administratíva'!$U$94</f>
        <v>0</v>
      </c>
      <c r="G182" s="325">
        <f>'[1]15. Administratíva'!$V$94</f>
        <v>0</v>
      </c>
      <c r="H182" s="315">
        <f t="shared" ref="H182:H183" si="232">SUM(I182:K182)</f>
        <v>0</v>
      </c>
      <c r="I182" s="309">
        <f>'[2]15. Administratíva'!$N$96</f>
        <v>0</v>
      </c>
      <c r="J182" s="309">
        <f>'[2]15. Administratíva'!$O$96</f>
        <v>0</v>
      </c>
      <c r="K182" s="338">
        <f>'[2]15. Administratíva'!$P$96</f>
        <v>0</v>
      </c>
      <c r="L182" s="315">
        <f t="shared" ref="L182:L183" si="233">SUM(M182:O182)</f>
        <v>0</v>
      </c>
      <c r="M182" s="309">
        <f>'[2]15. Administratíva'!$Q$96</f>
        <v>0</v>
      </c>
      <c r="N182" s="309">
        <f>'[2]15. Administratíva'!$R$96</f>
        <v>0</v>
      </c>
      <c r="O182" s="338">
        <f>'[2]15. Administratíva'!$S$96</f>
        <v>0</v>
      </c>
      <c r="P182" s="315">
        <f t="shared" ref="P182:P183" si="234">SUM(Q182:S182)</f>
        <v>0</v>
      </c>
      <c r="Q182" s="309">
        <f>'[2]15. Administratíva'!$T$96</f>
        <v>0</v>
      </c>
      <c r="R182" s="309">
        <f>'[2]15. Administratíva'!$U$96</f>
        <v>0</v>
      </c>
      <c r="S182" s="310">
        <f>'[2]15. Administratíva'!$V$96</f>
        <v>0</v>
      </c>
    </row>
    <row r="183" spans="1:19" ht="16.5" thickBot="1" x14ac:dyDescent="0.3">
      <c r="A183" s="158"/>
      <c r="B183" s="375" t="s">
        <v>431</v>
      </c>
      <c r="C183" s="371" t="s">
        <v>433</v>
      </c>
      <c r="D183" s="313">
        <f>SUM(E183:G183)</f>
        <v>333600.96000000002</v>
      </c>
      <c r="E183" s="314">
        <f>'[1]15. Administratíva'!$T$95</f>
        <v>63324.93</v>
      </c>
      <c r="F183" s="314">
        <f>'[1]15. Administratíva'!$U$95</f>
        <v>0</v>
      </c>
      <c r="G183" s="335">
        <f>'[1]15. Administratíva'!$V$95</f>
        <v>270276.03000000003</v>
      </c>
      <c r="H183" s="328">
        <f t="shared" si="232"/>
        <v>3307349.79</v>
      </c>
      <c r="I183" s="329">
        <f>'[2]15. Administratíva'!$N$97</f>
        <v>53360.05</v>
      </c>
      <c r="J183" s="329">
        <f>'[2]15. Administratíva'!$O$97</f>
        <v>0</v>
      </c>
      <c r="K183" s="435">
        <f>'[2]15. Administratíva'!$P$97</f>
        <v>3253989.74</v>
      </c>
      <c r="L183" s="328">
        <f t="shared" si="233"/>
        <v>268460</v>
      </c>
      <c r="M183" s="329">
        <f>'[2]15. Administratíva'!$Q$97</f>
        <v>42160</v>
      </c>
      <c r="N183" s="329">
        <f>'[2]15. Administratíva'!$R$97</f>
        <v>0</v>
      </c>
      <c r="O183" s="435">
        <f>'[2]15. Administratíva'!$S$97</f>
        <v>226300</v>
      </c>
      <c r="P183" s="328">
        <f t="shared" si="234"/>
        <v>245724.47999999998</v>
      </c>
      <c r="Q183" s="329">
        <f>'[2]15. Administratíva'!$T$97</f>
        <v>19703.14</v>
      </c>
      <c r="R183" s="329">
        <f>'[2]15. Administratíva'!$U$97</f>
        <v>0</v>
      </c>
      <c r="S183" s="330">
        <f>'[2]15. Administratíva'!$V$97</f>
        <v>226021.34</v>
      </c>
    </row>
    <row r="186" spans="1:19" x14ac:dyDescent="0.2">
      <c r="A186" s="158"/>
    </row>
    <row r="187" spans="1:19" x14ac:dyDescent="0.2">
      <c r="A187" s="155"/>
    </row>
    <row r="188" spans="1:19" x14ac:dyDescent="0.2">
      <c r="A188" s="155"/>
    </row>
    <row r="189" spans="1:19" x14ac:dyDescent="0.2">
      <c r="A189" s="155"/>
    </row>
    <row r="190" spans="1:19" x14ac:dyDescent="0.2">
      <c r="A190" s="155"/>
    </row>
    <row r="191" spans="1:19" x14ac:dyDescent="0.2">
      <c r="A191" s="155"/>
    </row>
    <row r="192" spans="1:19" x14ac:dyDescent="0.2">
      <c r="A192" s="158"/>
    </row>
    <row r="193" spans="1:1" x14ac:dyDescent="0.2">
      <c r="A193" s="158"/>
    </row>
    <row r="194" spans="1:1" x14ac:dyDescent="0.2">
      <c r="A194" s="155"/>
    </row>
    <row r="195" spans="1:1" x14ac:dyDescent="0.2">
      <c r="A195" s="150"/>
    </row>
    <row r="196" spans="1:1" x14ac:dyDescent="0.2">
      <c r="A196" s="150"/>
    </row>
    <row r="197" spans="1:1" x14ac:dyDescent="0.2">
      <c r="A197" s="150"/>
    </row>
    <row r="198" spans="1:1" x14ac:dyDescent="0.2">
      <c r="A198" s="150"/>
    </row>
    <row r="199" spans="1:1" x14ac:dyDescent="0.2">
      <c r="A199" s="150"/>
    </row>
    <row r="200" spans="1:1" x14ac:dyDescent="0.2">
      <c r="A200" s="150"/>
    </row>
    <row r="201" spans="1:1" x14ac:dyDescent="0.2">
      <c r="A201" s="150"/>
    </row>
    <row r="202" spans="1:1" x14ac:dyDescent="0.2">
      <c r="A202" s="158"/>
    </row>
  </sheetData>
  <sheetProtection selectLockedCells="1" selectUnlockedCells="1"/>
  <mergeCells count="6">
    <mergeCell ref="B3:S3"/>
    <mergeCell ref="L5:O6"/>
    <mergeCell ref="P5:S6"/>
    <mergeCell ref="B6:C7"/>
    <mergeCell ref="D5:G6"/>
    <mergeCell ref="H5:K6"/>
  </mergeCells>
  <phoneticPr fontId="0" type="noConversion"/>
  <pageMargins left="0" right="0" top="0" bottom="0" header="0.51181102362204722" footer="0.51181102362204722"/>
  <pageSetup paperSize="8" scale="81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80" zoomScaleNormal="8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C14" sqref="C14"/>
    </sheetView>
  </sheetViews>
  <sheetFormatPr defaultColWidth="34.28515625" defaultRowHeight="12.75" x14ac:dyDescent="0.2"/>
  <cols>
    <col min="1" max="1" width="59.42578125" style="124" bestFit="1" customWidth="1"/>
    <col min="2" max="5" width="20.5703125" style="455" customWidth="1"/>
    <col min="6" max="6" width="9.140625" style="124" customWidth="1"/>
    <col min="7" max="7" width="20.42578125" style="124" customWidth="1"/>
    <col min="8" max="8" width="9.140625" style="124" customWidth="1"/>
    <col min="9" max="9" width="38.140625" style="124" customWidth="1"/>
    <col min="10" max="10" width="15.5703125" style="124" bestFit="1" customWidth="1"/>
    <col min="11" max="12" width="15.5703125" style="124" customWidth="1"/>
    <col min="13" max="13" width="19.42578125" style="124" bestFit="1" customWidth="1"/>
    <col min="14" max="246" width="9.140625" style="124" customWidth="1"/>
    <col min="247" max="16384" width="34.28515625" style="124"/>
  </cols>
  <sheetData>
    <row r="1" spans="1:9" ht="100.5" customHeight="1" x14ac:dyDescent="0.3">
      <c r="A1" s="884" t="s">
        <v>793</v>
      </c>
      <c r="B1" s="884"/>
      <c r="C1" s="884"/>
      <c r="D1" s="884"/>
      <c r="E1" s="884"/>
    </row>
    <row r="2" spans="1:9" ht="13.5" thickBot="1" x14ac:dyDescent="0.25"/>
    <row r="3" spans="1:9" ht="36.75" thickBot="1" x14ac:dyDescent="0.3">
      <c r="A3" s="420" t="s">
        <v>409</v>
      </c>
      <c r="B3" s="456" t="s">
        <v>528</v>
      </c>
      <c r="C3" s="456" t="s">
        <v>653</v>
      </c>
      <c r="D3" s="421" t="s">
        <v>561</v>
      </c>
      <c r="E3" s="456" t="s">
        <v>654</v>
      </c>
    </row>
    <row r="4" spans="1:9" ht="20.25" customHeight="1" x14ac:dyDescent="0.25">
      <c r="A4" s="418" t="s">
        <v>410</v>
      </c>
      <c r="B4" s="457">
        <f>'príjmy '!B3</f>
        <v>14015751.489999998</v>
      </c>
      <c r="C4" s="457">
        <f>'príjmy '!C3</f>
        <v>15086193.5</v>
      </c>
      <c r="D4" s="419">
        <f>'príjmy '!D3</f>
        <v>17371964</v>
      </c>
      <c r="E4" s="457">
        <f>'príjmy '!E3</f>
        <v>16902365.120000001</v>
      </c>
      <c r="F4" s="469">
        <f>E4/D4*100</f>
        <v>97.296800292701519</v>
      </c>
    </row>
    <row r="5" spans="1:9" ht="21.75" customHeight="1" x14ac:dyDescent="0.25">
      <c r="A5" s="128" t="s">
        <v>411</v>
      </c>
      <c r="B5" s="458">
        <f>'výdavky '!E8</f>
        <v>12875160.679999998</v>
      </c>
      <c r="C5" s="458">
        <f>'výdavky '!I8</f>
        <v>13839112.5</v>
      </c>
      <c r="D5" s="141">
        <f>'výdavky '!M8</f>
        <v>16962234</v>
      </c>
      <c r="E5" s="458">
        <f>'výdavky '!Q8</f>
        <v>15984888.049999999</v>
      </c>
      <c r="F5" s="469">
        <f>E5/D5*100</f>
        <v>94.238105959391888</v>
      </c>
    </row>
    <row r="6" spans="1:9" ht="21" customHeight="1" x14ac:dyDescent="0.25">
      <c r="A6" s="128" t="s">
        <v>379</v>
      </c>
      <c r="B6" s="458">
        <f t="shared" ref="B6:C6" si="0">B4-B5</f>
        <v>1140590.8100000005</v>
      </c>
      <c r="C6" s="458">
        <f t="shared" si="0"/>
        <v>1247081</v>
      </c>
      <c r="D6" s="141">
        <f t="shared" ref="D6:E6" si="1">D4-D5</f>
        <v>409730</v>
      </c>
      <c r="E6" s="458">
        <f t="shared" si="1"/>
        <v>917477.07000000216</v>
      </c>
      <c r="F6" s="469"/>
    </row>
    <row r="7" spans="1:9" ht="18" x14ac:dyDescent="0.25">
      <c r="A7" s="128"/>
      <c r="B7" s="458"/>
      <c r="C7" s="458"/>
      <c r="D7" s="141"/>
      <c r="E7" s="458"/>
      <c r="F7" s="469"/>
      <c r="I7" s="125"/>
    </row>
    <row r="8" spans="1:9" ht="21.75" customHeight="1" x14ac:dyDescent="0.25">
      <c r="A8" s="128" t="s">
        <v>403</v>
      </c>
      <c r="B8" s="458">
        <f>'príjmy '!B128</f>
        <v>1260085.6400000001</v>
      </c>
      <c r="C8" s="458">
        <f>'príjmy '!C128</f>
        <v>520618.15</v>
      </c>
      <c r="D8" s="141">
        <f>'príjmy '!D128</f>
        <v>3539290</v>
      </c>
      <c r="E8" s="458">
        <f>'príjmy '!E128</f>
        <v>3008344.36</v>
      </c>
      <c r="F8" s="469">
        <f>E8/D8*100</f>
        <v>84.998526823176405</v>
      </c>
    </row>
    <row r="9" spans="1:9" ht="21" customHeight="1" x14ac:dyDescent="0.25">
      <c r="A9" s="128" t="s">
        <v>404</v>
      </c>
      <c r="B9" s="458">
        <f>'výdavky '!F8</f>
        <v>1207903.43</v>
      </c>
      <c r="C9" s="458">
        <f>'výdavky '!J8</f>
        <v>1274924.6299999999</v>
      </c>
      <c r="D9" s="141">
        <f>'výdavky '!N8</f>
        <v>6933530</v>
      </c>
      <c r="E9" s="458">
        <f>'výdavky '!R8</f>
        <v>6241945.2699999996</v>
      </c>
      <c r="F9" s="469">
        <f>E9/D9*100</f>
        <v>90.025503170823512</v>
      </c>
    </row>
    <row r="10" spans="1:9" ht="21.75" customHeight="1" x14ac:dyDescent="0.25">
      <c r="A10" s="128" t="s">
        <v>379</v>
      </c>
      <c r="B10" s="458">
        <f t="shared" ref="B10:C10" si="2">B8-B9</f>
        <v>52182.210000000196</v>
      </c>
      <c r="C10" s="458">
        <f t="shared" si="2"/>
        <v>-754306.47999999986</v>
      </c>
      <c r="D10" s="141">
        <f t="shared" ref="D10:E10" si="3">D8-D9</f>
        <v>-3394240</v>
      </c>
      <c r="E10" s="458">
        <f t="shared" si="3"/>
        <v>-3233600.9099999997</v>
      </c>
      <c r="F10" s="469"/>
    </row>
    <row r="11" spans="1:9" ht="18" x14ac:dyDescent="0.25">
      <c r="A11" s="128"/>
      <c r="B11" s="458"/>
      <c r="C11" s="458"/>
      <c r="D11" s="141"/>
      <c r="E11" s="458"/>
      <c r="F11" s="469"/>
    </row>
    <row r="12" spans="1:9" ht="22.5" customHeight="1" x14ac:dyDescent="0.25">
      <c r="A12" s="128" t="s">
        <v>405</v>
      </c>
      <c r="B12" s="458">
        <f>'príjmy '!B164</f>
        <v>760002.99</v>
      </c>
      <c r="C12" s="458">
        <f>'príjmy '!C164</f>
        <v>3592254.8200000003</v>
      </c>
      <c r="D12" s="141">
        <f>'príjmy '!D164</f>
        <v>4104015</v>
      </c>
      <c r="E12" s="458">
        <f>'príjmy '!E164</f>
        <v>3269689.59</v>
      </c>
      <c r="F12" s="469">
        <f>E12/D12*100</f>
        <v>79.670507783231784</v>
      </c>
    </row>
    <row r="13" spans="1:9" ht="22.5" customHeight="1" x14ac:dyDescent="0.25">
      <c r="A13" s="128" t="s">
        <v>406</v>
      </c>
      <c r="B13" s="458">
        <f>'výdavky '!G8</f>
        <v>1199446.22</v>
      </c>
      <c r="C13" s="458">
        <f>'výdavky '!K8</f>
        <v>3330309.9000000004</v>
      </c>
      <c r="D13" s="141">
        <f>'výdavky '!O8</f>
        <v>321300</v>
      </c>
      <c r="E13" s="458">
        <f>'výdavky '!S8</f>
        <v>310053.25</v>
      </c>
      <c r="F13" s="469">
        <f>E13/D13*100</f>
        <v>96.49961095549331</v>
      </c>
    </row>
    <row r="14" spans="1:9" ht="18.75" thickBot="1" x14ac:dyDescent="0.3">
      <c r="A14" s="131" t="s">
        <v>379</v>
      </c>
      <c r="B14" s="459">
        <f t="shared" ref="B14:C14" si="4">B12-B13</f>
        <v>-439443.23</v>
      </c>
      <c r="C14" s="459">
        <f t="shared" si="4"/>
        <v>261944.91999999993</v>
      </c>
      <c r="D14" s="144">
        <f t="shared" ref="D14:E14" si="5">D12-D13</f>
        <v>3782715</v>
      </c>
      <c r="E14" s="459">
        <f t="shared" si="5"/>
        <v>2959636.34</v>
      </c>
      <c r="F14" s="469"/>
    </row>
    <row r="15" spans="1:9" ht="13.5" thickBot="1" x14ac:dyDescent="0.25">
      <c r="A15" s="134"/>
      <c r="B15" s="460"/>
      <c r="C15" s="460"/>
      <c r="D15" s="135"/>
      <c r="E15" s="460"/>
      <c r="F15" s="469"/>
    </row>
    <row r="16" spans="1:9" ht="22.5" customHeight="1" x14ac:dyDescent="0.3">
      <c r="A16" s="298" t="s">
        <v>130</v>
      </c>
      <c r="B16" s="461">
        <f>B4+B8+B12</f>
        <v>16035840.119999999</v>
      </c>
      <c r="C16" s="461">
        <f t="shared" ref="C16" si="6">C4+C8+C12</f>
        <v>19199066.469999999</v>
      </c>
      <c r="D16" s="303">
        <f t="shared" ref="D16:E17" si="7">D4+D8+D12</f>
        <v>25015269</v>
      </c>
      <c r="E16" s="461">
        <f t="shared" si="7"/>
        <v>23180399.07</v>
      </c>
      <c r="F16" s="469">
        <f>E16/D16*100</f>
        <v>92.665000204475106</v>
      </c>
    </row>
    <row r="17" spans="1:13" ht="27.75" customHeight="1" thickBot="1" x14ac:dyDescent="0.35">
      <c r="A17" s="414" t="s">
        <v>383</v>
      </c>
      <c r="B17" s="462">
        <f>B5+B9+B13</f>
        <v>15282510.329999998</v>
      </c>
      <c r="C17" s="462">
        <f t="shared" ref="C17" si="8">C5+C9+C13</f>
        <v>18444347.030000001</v>
      </c>
      <c r="D17" s="415">
        <f t="shared" si="7"/>
        <v>24217064</v>
      </c>
      <c r="E17" s="462">
        <f t="shared" si="7"/>
        <v>22536886.57</v>
      </c>
      <c r="F17" s="469">
        <f>E17/D17*100</f>
        <v>93.062010200741099</v>
      </c>
    </row>
    <row r="18" spans="1:13" ht="27" customHeight="1" thickBot="1" x14ac:dyDescent="0.35">
      <c r="A18" s="416" t="s">
        <v>384</v>
      </c>
      <c r="B18" s="463">
        <f>B16-B17</f>
        <v>753329.79000000097</v>
      </c>
      <c r="C18" s="463">
        <f t="shared" ref="C18" si="9">C16-C17</f>
        <v>754719.43999999762</v>
      </c>
      <c r="D18" s="417">
        <f>D16-D17</f>
        <v>798205</v>
      </c>
      <c r="E18" s="463">
        <f>E16-E17</f>
        <v>643512.5</v>
      </c>
      <c r="F18" s="469"/>
    </row>
    <row r="19" spans="1:13" x14ac:dyDescent="0.2">
      <c r="D19" s="125"/>
      <c r="F19" s="469"/>
    </row>
    <row r="20" spans="1:13" ht="13.5" thickBot="1" x14ac:dyDescent="0.25">
      <c r="D20" s="125"/>
      <c r="F20" s="469"/>
    </row>
    <row r="21" spans="1:13" ht="20.25" x14ac:dyDescent="0.3">
      <c r="A21" s="409" t="s">
        <v>451</v>
      </c>
      <c r="B21" s="464">
        <f>B4+B8</f>
        <v>15275837.129999999</v>
      </c>
      <c r="C21" s="464">
        <f t="shared" ref="C21" si="10">C4+C8</f>
        <v>15606811.65</v>
      </c>
      <c r="D21" s="410">
        <f t="shared" ref="D21:E22" si="11">D4+D8</f>
        <v>20911254</v>
      </c>
      <c r="E21" s="464">
        <f t="shared" si="11"/>
        <v>19910709.48</v>
      </c>
      <c r="F21" s="469">
        <f>E21/D21*100</f>
        <v>95.215282067732517</v>
      </c>
    </row>
    <row r="22" spans="1:13" ht="21" thickBot="1" x14ac:dyDescent="0.35">
      <c r="A22" s="411" t="s">
        <v>452</v>
      </c>
      <c r="B22" s="465">
        <f>B5+B9</f>
        <v>14083064.109999998</v>
      </c>
      <c r="C22" s="465">
        <f t="shared" ref="C22" si="12">C5+C9</f>
        <v>15114037.129999999</v>
      </c>
      <c r="D22" s="304">
        <f t="shared" si="11"/>
        <v>23895764</v>
      </c>
      <c r="E22" s="465">
        <f t="shared" si="11"/>
        <v>22226833.32</v>
      </c>
      <c r="F22" s="469">
        <f>E22/D22*100</f>
        <v>93.015788572401377</v>
      </c>
    </row>
    <row r="23" spans="1:13" ht="21" thickBot="1" x14ac:dyDescent="0.35">
      <c r="A23" s="412" t="s">
        <v>421</v>
      </c>
      <c r="B23" s="466">
        <f t="shared" ref="B23:C23" si="13">B21-B22</f>
        <v>1192773.0200000014</v>
      </c>
      <c r="C23" s="466">
        <f t="shared" si="13"/>
        <v>492774.52000000142</v>
      </c>
      <c r="D23" s="413">
        <f t="shared" ref="D23:E23" si="14">D21-D22</f>
        <v>-2984510</v>
      </c>
      <c r="E23" s="466">
        <f t="shared" si="14"/>
        <v>-2316123.84</v>
      </c>
      <c r="F23" s="469"/>
    </row>
    <row r="24" spans="1:13" ht="48" thickBot="1" x14ac:dyDescent="0.3">
      <c r="A24" s="300"/>
      <c r="G24" s="321" t="s">
        <v>435</v>
      </c>
      <c r="H24" s="878" t="s">
        <v>436</v>
      </c>
      <c r="I24" s="879"/>
      <c r="J24" s="453" t="s">
        <v>528</v>
      </c>
      <c r="K24" s="453" t="s">
        <v>653</v>
      </c>
      <c r="L24" s="438" t="s">
        <v>562</v>
      </c>
      <c r="M24" s="438" t="s">
        <v>654</v>
      </c>
    </row>
    <row r="25" spans="1:13" ht="18" x14ac:dyDescent="0.25">
      <c r="A25" s="299"/>
      <c r="G25" s="322">
        <v>100</v>
      </c>
      <c r="H25" s="880" t="s">
        <v>437</v>
      </c>
      <c r="I25" s="881"/>
      <c r="J25" s="439">
        <f>'príjmy '!B4</f>
        <v>8500097.3599999994</v>
      </c>
      <c r="K25" s="439">
        <f>'príjmy '!C4</f>
        <v>8990184.5999999996</v>
      </c>
      <c r="L25" s="439">
        <f>'príjmy '!D4</f>
        <v>9740000</v>
      </c>
      <c r="M25" s="846">
        <f>'príjmy '!E4</f>
        <v>9879465.6500000004</v>
      </c>
    </row>
    <row r="26" spans="1:13" ht="18" x14ac:dyDescent="0.25">
      <c r="A26" s="320"/>
      <c r="G26" s="323">
        <v>200</v>
      </c>
      <c r="H26" s="882" t="s">
        <v>438</v>
      </c>
      <c r="I26" s="883"/>
      <c r="J26" s="440">
        <f>'príjmy '!B17+'príjmy '!B29+'príjmy '!B54+'príjmy '!B129</f>
        <v>1880101.2500000002</v>
      </c>
      <c r="K26" s="440">
        <f>'príjmy '!C17+'príjmy '!C29+'príjmy '!C54+'príjmy '!C129</f>
        <v>2157524.36</v>
      </c>
      <c r="L26" s="440">
        <f>'príjmy '!D17+'príjmy '!D29+'príjmy '!D54+'príjmy '!D129</f>
        <v>3106600</v>
      </c>
      <c r="M26" s="847">
        <f>'príjmy '!E17+'príjmy '!E29+'príjmy '!E54+'príjmy '!E129</f>
        <v>2883041.7299999995</v>
      </c>
    </row>
    <row r="27" spans="1:13" ht="18" x14ac:dyDescent="0.25">
      <c r="A27" s="320"/>
      <c r="G27" s="323">
        <v>300</v>
      </c>
      <c r="H27" s="882" t="s">
        <v>439</v>
      </c>
      <c r="I27" s="883"/>
      <c r="J27" s="440">
        <f>'príjmy '!B62+'príjmy '!B133</f>
        <v>4895638.5199999996</v>
      </c>
      <c r="K27" s="440">
        <f>'príjmy '!C62+'príjmy '!C133</f>
        <v>4459102.6900000004</v>
      </c>
      <c r="L27" s="440">
        <f>'príjmy '!D62+'príjmy '!D133</f>
        <v>8064654</v>
      </c>
      <c r="M27" s="847">
        <f>'príjmy '!E62+'príjmy '!E133</f>
        <v>7148202.0999999996</v>
      </c>
    </row>
    <row r="28" spans="1:13" ht="18" x14ac:dyDescent="0.25">
      <c r="A28" s="320"/>
      <c r="G28" s="323">
        <v>400</v>
      </c>
      <c r="H28" s="882" t="s">
        <v>440</v>
      </c>
      <c r="I28" s="883"/>
      <c r="J28" s="440">
        <f>'príjmy '!B165</f>
        <v>760002.99</v>
      </c>
      <c r="K28" s="440">
        <f>'príjmy '!C165+'príjmy '!C167+'príjmy '!C168</f>
        <v>456582.47</v>
      </c>
      <c r="L28" s="440">
        <f>'príjmy '!D165+'príjmy '!D166+'príjmy '!D167+'príjmy '!D168+'príjmy '!D169</f>
        <v>1011415</v>
      </c>
      <c r="M28" s="847">
        <f>'príjmy '!E165+'príjmy '!E166+'príjmy '!E167+'príjmy '!E168+'príjmy '!E169</f>
        <v>1047127.46</v>
      </c>
    </row>
    <row r="29" spans="1:13" ht="18" x14ac:dyDescent="0.25">
      <c r="A29" s="320"/>
      <c r="G29" s="323">
        <v>500</v>
      </c>
      <c r="H29" s="882" t="s">
        <v>441</v>
      </c>
      <c r="I29" s="883"/>
      <c r="J29" s="440">
        <f>'príjmy '!B170+'príjmy '!B171+'príjmy '!B173</f>
        <v>0</v>
      </c>
      <c r="K29" s="440">
        <f>'príjmy '!C170+'príjmy '!C171+'príjmy '!C173</f>
        <v>3135672.35</v>
      </c>
      <c r="L29" s="440">
        <f>'príjmy '!D170+'príjmy '!D171+'príjmy '!D172+'príjmy '!D173</f>
        <v>3092600</v>
      </c>
      <c r="M29" s="847">
        <f>'príjmy '!E170+'príjmy '!E171+'príjmy '!E172+'príjmy '!E173</f>
        <v>2222562.13</v>
      </c>
    </row>
    <row r="30" spans="1:13" ht="18" x14ac:dyDescent="0.25">
      <c r="A30" s="320"/>
      <c r="G30" s="323">
        <v>600</v>
      </c>
      <c r="H30" s="882" t="s">
        <v>378</v>
      </c>
      <c r="I30" s="883"/>
      <c r="J30" s="440">
        <f>B5</f>
        <v>12875160.679999998</v>
      </c>
      <c r="K30" s="440">
        <f>C5</f>
        <v>13839112.5</v>
      </c>
      <c r="L30" s="440">
        <f>D5</f>
        <v>16962234</v>
      </c>
      <c r="M30" s="847">
        <f>E5</f>
        <v>15984888.049999999</v>
      </c>
    </row>
    <row r="31" spans="1:13" ht="18" x14ac:dyDescent="0.25">
      <c r="A31" s="320"/>
      <c r="G31" s="323">
        <v>700</v>
      </c>
      <c r="H31" s="882" t="s">
        <v>381</v>
      </c>
      <c r="I31" s="883"/>
      <c r="J31" s="440">
        <f>B9</f>
        <v>1207903.43</v>
      </c>
      <c r="K31" s="440">
        <f>C9</f>
        <v>1274924.6299999999</v>
      </c>
      <c r="L31" s="440">
        <f>D9</f>
        <v>6933530</v>
      </c>
      <c r="M31" s="847">
        <f>E9</f>
        <v>6241945.2699999996</v>
      </c>
    </row>
    <row r="32" spans="1:13" ht="18.75" thickBot="1" x14ac:dyDescent="0.3">
      <c r="A32" s="320"/>
      <c r="G32" s="324">
        <v>800</v>
      </c>
      <c r="H32" s="885" t="s">
        <v>442</v>
      </c>
      <c r="I32" s="886"/>
      <c r="J32" s="441">
        <f>B13</f>
        <v>1199446.22</v>
      </c>
      <c r="K32" s="441">
        <f>C13</f>
        <v>3330309.9000000004</v>
      </c>
      <c r="L32" s="441">
        <f>D13</f>
        <v>321300</v>
      </c>
      <c r="M32" s="848">
        <f>E13</f>
        <v>310053.25</v>
      </c>
    </row>
    <row r="33" spans="1:13" ht="18.75" thickBot="1" x14ac:dyDescent="0.3">
      <c r="A33" s="320"/>
      <c r="G33" s="876"/>
      <c r="H33" s="876"/>
      <c r="I33" s="876"/>
      <c r="J33" s="866"/>
      <c r="K33" s="866"/>
    </row>
    <row r="34" spans="1:13" ht="48" thickBot="1" x14ac:dyDescent="0.3">
      <c r="A34" s="320"/>
      <c r="G34" s="877"/>
      <c r="H34" s="877"/>
      <c r="I34" s="877"/>
      <c r="J34" s="453" t="s">
        <v>528</v>
      </c>
      <c r="K34" s="453" t="s">
        <v>655</v>
      </c>
      <c r="L34" s="438" t="s">
        <v>562</v>
      </c>
      <c r="M34" s="438" t="s">
        <v>654</v>
      </c>
    </row>
    <row r="35" spans="1:13" ht="18" x14ac:dyDescent="0.25">
      <c r="A35" s="320"/>
      <c r="G35" s="867" t="s">
        <v>475</v>
      </c>
      <c r="H35" s="868"/>
      <c r="I35" s="869"/>
      <c r="J35" s="443">
        <f t="shared" ref="J35:K35" si="15">J25+J26+J27+J28+J29</f>
        <v>16035840.119999999</v>
      </c>
      <c r="K35" s="443">
        <f t="shared" si="15"/>
        <v>19199066.469999999</v>
      </c>
      <c r="L35" s="443">
        <f>L25+L26+L27+L28+L29</f>
        <v>25015269</v>
      </c>
      <c r="M35" s="443">
        <f t="shared" ref="M35" si="16">M25+M26+M27+M28+M29</f>
        <v>23180399.069999997</v>
      </c>
    </row>
    <row r="36" spans="1:13" ht="18" x14ac:dyDescent="0.25">
      <c r="A36" s="320"/>
      <c r="G36" s="870" t="s">
        <v>476</v>
      </c>
      <c r="H36" s="871"/>
      <c r="I36" s="872"/>
      <c r="J36" s="444">
        <f t="shared" ref="J36:K36" si="17">J30+J31+J32</f>
        <v>15282510.329999998</v>
      </c>
      <c r="K36" s="444">
        <f t="shared" si="17"/>
        <v>18444347.030000001</v>
      </c>
      <c r="L36" s="444">
        <f t="shared" ref="L36:M36" si="18">L30+L31+L32</f>
        <v>24217064</v>
      </c>
      <c r="M36" s="444">
        <f t="shared" si="18"/>
        <v>22536886.57</v>
      </c>
    </row>
    <row r="37" spans="1:13" ht="18.75" thickBot="1" x14ac:dyDescent="0.3">
      <c r="G37" s="873" t="s">
        <v>379</v>
      </c>
      <c r="H37" s="874"/>
      <c r="I37" s="875"/>
      <c r="J37" s="445">
        <f t="shared" ref="J37:K37" si="19">J35-J36</f>
        <v>753329.79000000097</v>
      </c>
      <c r="K37" s="445">
        <f t="shared" si="19"/>
        <v>754719.43999999762</v>
      </c>
      <c r="L37" s="445">
        <f t="shared" ref="L37:M37" si="20">L35-L36</f>
        <v>798205</v>
      </c>
      <c r="M37" s="445">
        <f t="shared" si="20"/>
        <v>643512.49999999627</v>
      </c>
    </row>
    <row r="38" spans="1:13" ht="18" x14ac:dyDescent="0.25">
      <c r="G38" s="442"/>
      <c r="H38" s="442"/>
      <c r="I38" s="442"/>
      <c r="J38" s="442"/>
      <c r="K38" s="442"/>
      <c r="L38" s="442"/>
      <c r="M38" s="442"/>
    </row>
    <row r="49" ht="58.5" customHeight="1" x14ac:dyDescent="0.2"/>
  </sheetData>
  <sheetProtection selectLockedCells="1" selectUnlockedCells="1"/>
  <mergeCells count="15">
    <mergeCell ref="H28:I28"/>
    <mergeCell ref="H29:I29"/>
    <mergeCell ref="H30:I30"/>
    <mergeCell ref="H31:I31"/>
    <mergeCell ref="H32:I32"/>
    <mergeCell ref="H24:I24"/>
    <mergeCell ref="H25:I25"/>
    <mergeCell ref="H26:I26"/>
    <mergeCell ref="H27:I27"/>
    <mergeCell ref="A1:E1"/>
    <mergeCell ref="J33:K33"/>
    <mergeCell ref="G35:I35"/>
    <mergeCell ref="G36:I36"/>
    <mergeCell ref="G37:I37"/>
    <mergeCell ref="G33:I34"/>
  </mergeCells>
  <phoneticPr fontId="0" type="noConversion"/>
  <pageMargins left="0" right="0" top="0" bottom="0" header="0.51181102362204722" footer="0.51181102362204722"/>
  <pageSetup paperSize="9" scale="50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887" t="s">
        <v>394</v>
      </c>
      <c r="B1" s="887"/>
      <c r="C1" s="887"/>
      <c r="D1" s="887"/>
      <c r="E1" s="887"/>
      <c r="F1" s="887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391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60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60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60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51" t="s">
        <v>389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61" t="s">
        <v>386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61" t="s">
        <v>390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60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60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60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893" t="s">
        <v>132</v>
      </c>
      <c r="E5" s="893"/>
      <c r="F5" s="893"/>
      <c r="G5" s="893"/>
      <c r="H5" s="894" t="s">
        <v>133</v>
      </c>
      <c r="I5" s="894"/>
      <c r="J5" s="894"/>
      <c r="K5" s="894"/>
      <c r="L5" s="888" t="s">
        <v>2</v>
      </c>
      <c r="M5" s="888"/>
      <c r="N5" s="888"/>
      <c r="O5" s="888"/>
      <c r="P5" s="888" t="s">
        <v>392</v>
      </c>
      <c r="Q5" s="888"/>
      <c r="R5" s="888"/>
      <c r="S5" s="888"/>
      <c r="T5" s="888" t="s">
        <v>388</v>
      </c>
      <c r="U5" s="888"/>
      <c r="V5" s="888"/>
      <c r="W5" s="888"/>
    </row>
    <row r="6" spans="1:23" ht="12.75" customHeight="1" thickBot="1" x14ac:dyDescent="0.25">
      <c r="A6" s="80"/>
      <c r="B6" s="890" t="s">
        <v>134</v>
      </c>
      <c r="C6" s="890"/>
      <c r="D6" s="164" t="s">
        <v>135</v>
      </c>
      <c r="E6" s="891" t="s">
        <v>136</v>
      </c>
      <c r="F6" s="891"/>
      <c r="G6" s="891"/>
      <c r="H6" s="164" t="s">
        <v>135</v>
      </c>
      <c r="I6" s="892" t="s">
        <v>137</v>
      </c>
      <c r="J6" s="892"/>
      <c r="K6" s="892"/>
      <c r="L6" s="165" t="s">
        <v>135</v>
      </c>
      <c r="M6" s="889" t="s">
        <v>138</v>
      </c>
      <c r="N6" s="889"/>
      <c r="O6" s="889"/>
      <c r="P6" s="165" t="s">
        <v>135</v>
      </c>
      <c r="Q6" s="889" t="s">
        <v>138</v>
      </c>
      <c r="R6" s="889"/>
      <c r="S6" s="889"/>
      <c r="T6" s="165" t="s">
        <v>135</v>
      </c>
      <c r="U6" s="889" t="s">
        <v>139</v>
      </c>
      <c r="V6" s="889"/>
      <c r="W6" s="889"/>
    </row>
    <row r="7" spans="1:23" ht="24.75" thickBot="1" x14ac:dyDescent="0.25">
      <c r="A7" s="80"/>
      <c r="B7" s="890"/>
      <c r="C7" s="890"/>
      <c r="D7" s="166" t="s">
        <v>140</v>
      </c>
      <c r="E7" s="167" t="s">
        <v>141</v>
      </c>
      <c r="F7" s="168" t="s">
        <v>142</v>
      </c>
      <c r="G7" s="169" t="s">
        <v>143</v>
      </c>
      <c r="H7" s="166" t="s">
        <v>144</v>
      </c>
      <c r="I7" s="167" t="s">
        <v>141</v>
      </c>
      <c r="J7" s="168" t="s">
        <v>142</v>
      </c>
      <c r="K7" s="170" t="s">
        <v>143</v>
      </c>
      <c r="L7" s="171" t="s">
        <v>145</v>
      </c>
      <c r="M7" s="172" t="s">
        <v>141</v>
      </c>
      <c r="N7" s="173" t="s">
        <v>142</v>
      </c>
      <c r="O7" s="174" t="s">
        <v>143</v>
      </c>
      <c r="P7" s="171" t="s">
        <v>145</v>
      </c>
      <c r="Q7" s="172" t="s">
        <v>141</v>
      </c>
      <c r="R7" s="173" t="s">
        <v>142</v>
      </c>
      <c r="S7" s="174" t="s">
        <v>143</v>
      </c>
      <c r="T7" s="171" t="s">
        <v>146</v>
      </c>
      <c r="U7" s="172" t="s">
        <v>141</v>
      </c>
      <c r="V7" s="173" t="s">
        <v>142</v>
      </c>
      <c r="W7" s="174" t="s">
        <v>143</v>
      </c>
    </row>
    <row r="8" spans="1:23" ht="24" customHeight="1" thickBot="1" x14ac:dyDescent="0.25">
      <c r="A8" s="80"/>
      <c r="B8" s="175" t="s">
        <v>147</v>
      </c>
      <c r="C8" s="176"/>
      <c r="D8" s="177" t="e">
        <f>E8+F8+G8</f>
        <v>#REF!</v>
      </c>
      <c r="E8" s="178" t="e">
        <f>E10+E24+E38+E48+E54+E70+E78+E93+E97+E120+E130+E139+E151+E174+E175</f>
        <v>#REF!</v>
      </c>
      <c r="F8" s="178" t="e">
        <f>F10+F24+F38+F48+F54+F70+F78+F93+F97+F120+F130+F139+F151+F174+F175</f>
        <v>#REF!</v>
      </c>
      <c r="G8" s="179" t="e">
        <f>G10+G24+G38+G48+G54+G70+G78+G93+G97+G120+G130+G139+G151+G174+G175</f>
        <v>#REF!</v>
      </c>
      <c r="H8" s="177" t="e">
        <f>I8+J8+K8</f>
        <v>#REF!</v>
      </c>
      <c r="I8" s="178" t="e">
        <f>I10+I24+I38+I48+I54+I70+I78+I93+I97+I120+I130+I139+I151+I174+I175</f>
        <v>#REF!</v>
      </c>
      <c r="J8" s="178" t="e">
        <f>J10+J24+J38+J48+J54+J70+J78+J93+J97+J120+J130+J139+J151+J174+J175</f>
        <v>#REF!</v>
      </c>
      <c r="K8" s="180" t="e">
        <f>K10+K24+K38+K48+K54+K70+K78+K93+K97+K120+K130+K139+K151+K174+K175</f>
        <v>#REF!</v>
      </c>
      <c r="L8" s="181" t="e">
        <f>SUM(M8:O8)</f>
        <v>#REF!</v>
      </c>
      <c r="M8" s="178" t="e">
        <f>M10+M24+M38+M48+M54+M70+M78+M93+M97+M120+M130+M139+M151+M174+M175</f>
        <v>#REF!</v>
      </c>
      <c r="N8" s="178" t="e">
        <f>N10+N24+N38+N48+N54+N70+N78+N93+N97+N120+N130+N139+N151+N174+N175</f>
        <v>#REF!</v>
      </c>
      <c r="O8" s="180" t="e">
        <f>O10+O24+O38+O48+O54+O70+O78+O93+O97+O120+O130+O139+O151+O174+O175</f>
        <v>#REF!</v>
      </c>
      <c r="P8" s="181">
        <v>12339862.450000001</v>
      </c>
      <c r="Q8" s="178">
        <v>10730799.140000001</v>
      </c>
      <c r="R8" s="178">
        <v>957999</v>
      </c>
      <c r="S8" s="180">
        <v>654683.57999999996</v>
      </c>
      <c r="T8" s="181" t="e">
        <f>SUM(U8:W8)</f>
        <v>#REF!</v>
      </c>
      <c r="U8" s="178" t="e">
        <f>U10+U24+U38+U48+U54+U70+U78+U93+U97+U120+U130+U139+U151+U174+U175</f>
        <v>#REF!</v>
      </c>
      <c r="V8" s="178" t="e">
        <f>V10+V24+V38+V48+V54+V70+V78+V93+V97+V120+V130+V139+V151+V174+V175</f>
        <v>#REF!</v>
      </c>
      <c r="W8" s="180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9"/>
      <c r="Q9" s="290"/>
      <c r="R9" s="291"/>
      <c r="S9" s="290"/>
      <c r="T9" s="87"/>
      <c r="U9" s="90"/>
      <c r="V9" s="89"/>
      <c r="W9" s="90"/>
    </row>
    <row r="10" spans="1:23" ht="14.25" x14ac:dyDescent="0.2">
      <c r="A10" s="80"/>
      <c r="B10" s="182" t="s">
        <v>149</v>
      </c>
      <c r="C10" s="183"/>
      <c r="D10" s="184">
        <f t="shared" ref="D10:W10" si="0">D11+D16+D20+D21+D22+D23</f>
        <v>249041</v>
      </c>
      <c r="E10" s="185">
        <f t="shared" si="0"/>
        <v>202089</v>
      </c>
      <c r="F10" s="185">
        <f t="shared" si="0"/>
        <v>46952</v>
      </c>
      <c r="G10" s="186">
        <f t="shared" si="0"/>
        <v>0</v>
      </c>
      <c r="H10" s="184">
        <f>H11+H16+H20+H21+H22+H23-1</f>
        <v>182685</v>
      </c>
      <c r="I10" s="185">
        <f t="shared" si="0"/>
        <v>169377</v>
      </c>
      <c r="J10" s="185">
        <f t="shared" si="0"/>
        <v>13309</v>
      </c>
      <c r="K10" s="187">
        <f t="shared" si="0"/>
        <v>0</v>
      </c>
      <c r="L10" s="188" t="e">
        <f t="shared" si="0"/>
        <v>#REF!</v>
      </c>
      <c r="M10" s="185" t="e">
        <f t="shared" si="0"/>
        <v>#REF!</v>
      </c>
      <c r="N10" s="185" t="e">
        <f t="shared" si="0"/>
        <v>#REF!</v>
      </c>
      <c r="O10" s="187" t="e">
        <f t="shared" si="0"/>
        <v>#REF!</v>
      </c>
      <c r="P10" s="252">
        <v>167746.69</v>
      </c>
      <c r="Q10" s="253">
        <v>166090.16</v>
      </c>
      <c r="R10" s="253">
        <v>1656.53</v>
      </c>
      <c r="S10" s="254">
        <v>0</v>
      </c>
      <c r="T10" s="188">
        <f t="shared" si="0"/>
        <v>202120</v>
      </c>
      <c r="U10" s="185">
        <f t="shared" si="0"/>
        <v>179552</v>
      </c>
      <c r="V10" s="185">
        <f t="shared" si="0"/>
        <v>22568</v>
      </c>
      <c r="W10" s="187">
        <f t="shared" si="0"/>
        <v>0</v>
      </c>
    </row>
    <row r="11" spans="1:23" ht="15.75" x14ac:dyDescent="0.25">
      <c r="A11" s="80"/>
      <c r="B11" s="205" t="s">
        <v>150</v>
      </c>
      <c r="C11" s="206" t="s">
        <v>151</v>
      </c>
      <c r="D11" s="207">
        <f>SUM(D12:D15)</f>
        <v>114308</v>
      </c>
      <c r="E11" s="208">
        <f>SUM(E12:E15)</f>
        <v>114308</v>
      </c>
      <c r="F11" s="208">
        <f>SUM(F12:F15)</f>
        <v>0</v>
      </c>
      <c r="G11" s="209">
        <f>SUM(G12:G15)</f>
        <v>0</v>
      </c>
      <c r="H11" s="207">
        <f t="shared" ref="H11:W11" si="1">SUM(H12:H15)</f>
        <v>84347</v>
      </c>
      <c r="I11" s="208">
        <f t="shared" si="1"/>
        <v>84347</v>
      </c>
      <c r="J11" s="208">
        <f t="shared" si="1"/>
        <v>0</v>
      </c>
      <c r="K11" s="210">
        <f t="shared" si="1"/>
        <v>0</v>
      </c>
      <c r="L11" s="211" t="e">
        <f t="shared" si="1"/>
        <v>#REF!</v>
      </c>
      <c r="M11" s="208" t="e">
        <f t="shared" si="1"/>
        <v>#REF!</v>
      </c>
      <c r="N11" s="208" t="e">
        <f t="shared" si="1"/>
        <v>#REF!</v>
      </c>
      <c r="O11" s="210" t="e">
        <f t="shared" si="1"/>
        <v>#REF!</v>
      </c>
      <c r="P11" s="255">
        <v>92823.26</v>
      </c>
      <c r="Q11" s="256">
        <v>92823.26</v>
      </c>
      <c r="R11" s="256">
        <v>0</v>
      </c>
      <c r="S11" s="257">
        <v>0</v>
      </c>
      <c r="T11" s="211">
        <f t="shared" si="1"/>
        <v>100632</v>
      </c>
      <c r="U11" s="208">
        <f t="shared" si="1"/>
        <v>100632</v>
      </c>
      <c r="V11" s="208">
        <f t="shared" si="1"/>
        <v>0</v>
      </c>
      <c r="W11" s="210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'[3]1.Plánovanie, manažment a kontr'!#REF!</f>
        <v>#REF!</v>
      </c>
      <c r="N12" s="94" t="e">
        <f>'[3]1.Plánovanie, manažment a kontr'!#REF!</f>
        <v>#REF!</v>
      </c>
      <c r="O12" s="96" t="e">
        <f>'[3]1.Plánovanie, manažment a kontr'!#REF!</f>
        <v>#REF!</v>
      </c>
      <c r="P12" s="255">
        <v>38175.74</v>
      </c>
      <c r="Q12" s="258">
        <v>38175.74</v>
      </c>
      <c r="R12" s="258">
        <v>0</v>
      </c>
      <c r="S12" s="259">
        <v>0</v>
      </c>
      <c r="T12" s="97">
        <f>SUM(U12:W12)</f>
        <v>39379</v>
      </c>
      <c r="U12" s="94">
        <f>'[3]1.Plánovanie, manažment a kontr'!$H$5</f>
        <v>39379</v>
      </c>
      <c r="V12" s="94">
        <f>'[3]1.Plánovanie, manažment a kontr'!$I$5</f>
        <v>0</v>
      </c>
      <c r="W12" s="96">
        <f>'[3]1.Plánovanie,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'[3]1.Plánovanie, manažment a kontr'!#REF!</f>
        <v>#REF!</v>
      </c>
      <c r="N13" s="94" t="e">
        <f>'[3]1.Plánovanie, manažment a kontr'!#REF!</f>
        <v>#REF!</v>
      </c>
      <c r="O13" s="96" t="e">
        <f>'[3]1.Plánovanie, manažment a kontr'!#REF!</f>
        <v>#REF!</v>
      </c>
      <c r="P13" s="255">
        <v>26838.14</v>
      </c>
      <c r="Q13" s="258">
        <v>26838.14</v>
      </c>
      <c r="R13" s="258">
        <v>0</v>
      </c>
      <c r="S13" s="259">
        <v>0</v>
      </c>
      <c r="T13" s="97">
        <f>SUM(U13:W13)</f>
        <v>26321</v>
      </c>
      <c r="U13" s="94">
        <f>'[3]1.Plánovanie, manažment a kontr'!$H$16</f>
        <v>26321</v>
      </c>
      <c r="V13" s="94">
        <f>'[3]1.Plánovanie, manažment a kontr'!$I$16</f>
        <v>0</v>
      </c>
      <c r="W13" s="96">
        <f>'[3]1.Plánovanie,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'[3]1.Plánovanie, manažment a kontr'!#REF!</f>
        <v>#REF!</v>
      </c>
      <c r="N14" s="94" t="e">
        <f>'[3]1.Plánovanie, manažment a kontr'!#REF!</f>
        <v>#REF!</v>
      </c>
      <c r="O14" s="96" t="e">
        <f>'[3]1.Plánovanie, manažment a kontr'!#REF!</f>
        <v>#REF!</v>
      </c>
      <c r="P14" s="255">
        <v>27809.38</v>
      </c>
      <c r="Q14" s="258">
        <v>27809.38</v>
      </c>
      <c r="R14" s="258">
        <v>0</v>
      </c>
      <c r="S14" s="259">
        <v>0</v>
      </c>
      <c r="T14" s="97">
        <f>SUM(U14:W14)</f>
        <v>34932</v>
      </c>
      <c r="U14" s="94">
        <f>'[3]1.Plánovanie, manažment a kontr'!$H$27</f>
        <v>34932</v>
      </c>
      <c r="V14" s="94">
        <f>'[3]1.Plánovanie, manažment a kontr'!$I$27</f>
        <v>0</v>
      </c>
      <c r="W14" s="96">
        <f>'[3]1.Plánovanie,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'[3]1.Plánovanie, manažment a kontr'!#REF!</f>
        <v>#REF!</v>
      </c>
      <c r="N15" s="94" t="e">
        <f>'[3]1.Plánovanie, manažment a kontr'!#REF!</f>
        <v>#REF!</v>
      </c>
      <c r="O15" s="96" t="e">
        <f>'[3]1.Plánovanie, manažment a kontr'!#REF!</f>
        <v>#REF!</v>
      </c>
      <c r="P15" s="255">
        <v>0</v>
      </c>
      <c r="Q15" s="258">
        <v>0</v>
      </c>
      <c r="R15" s="258">
        <v>0</v>
      </c>
      <c r="S15" s="259">
        <v>0</v>
      </c>
      <c r="T15" s="97">
        <f>SUM(U15:W15)</f>
        <v>0</v>
      </c>
      <c r="U15" s="94">
        <f>'[3]1.Plánovanie, manažment a kontr'!$H$31</f>
        <v>0</v>
      </c>
      <c r="V15" s="94">
        <f>'[3]1.Plánovanie, manažment a kontr'!$I$31</f>
        <v>0</v>
      </c>
      <c r="W15" s="96">
        <f>'[3]1.Plánovanie, manažment a kontr'!$J$31</f>
        <v>0</v>
      </c>
    </row>
    <row r="16" spans="1:23" ht="15.75" x14ac:dyDescent="0.25">
      <c r="A16" s="99"/>
      <c r="B16" s="205" t="s">
        <v>156</v>
      </c>
      <c r="C16" s="212" t="s">
        <v>157</v>
      </c>
      <c r="D16" s="207">
        <f t="shared" ref="D16:W16" si="2">SUM(D17:D19)</f>
        <v>61358</v>
      </c>
      <c r="E16" s="208">
        <f t="shared" si="2"/>
        <v>16667</v>
      </c>
      <c r="F16" s="208">
        <f t="shared" si="2"/>
        <v>44691</v>
      </c>
      <c r="G16" s="209">
        <f t="shared" si="2"/>
        <v>0</v>
      </c>
      <c r="H16" s="207">
        <f t="shared" si="2"/>
        <v>32896</v>
      </c>
      <c r="I16" s="208">
        <f t="shared" si="2"/>
        <v>19587</v>
      </c>
      <c r="J16" s="208">
        <f t="shared" si="2"/>
        <v>13309</v>
      </c>
      <c r="K16" s="210">
        <f t="shared" si="2"/>
        <v>0</v>
      </c>
      <c r="L16" s="211" t="e">
        <f t="shared" si="2"/>
        <v>#REF!</v>
      </c>
      <c r="M16" s="208" t="e">
        <f t="shared" si="2"/>
        <v>#REF!</v>
      </c>
      <c r="N16" s="208" t="e">
        <f t="shared" si="2"/>
        <v>#REF!</v>
      </c>
      <c r="O16" s="210" t="e">
        <f t="shared" si="2"/>
        <v>#REF!</v>
      </c>
      <c r="P16" s="255">
        <v>9763.3700000000008</v>
      </c>
      <c r="Q16" s="256">
        <v>8106.84</v>
      </c>
      <c r="R16" s="256">
        <v>1656.53</v>
      </c>
      <c r="S16" s="257">
        <v>0</v>
      </c>
      <c r="T16" s="211">
        <f t="shared" si="2"/>
        <v>45168</v>
      </c>
      <c r="U16" s="208">
        <f t="shared" si="2"/>
        <v>22600</v>
      </c>
      <c r="V16" s="208">
        <f t="shared" si="2"/>
        <v>22568</v>
      </c>
      <c r="W16" s="210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'[3]1.Plánovanie, manažment a kontr'!#REF!</f>
        <v>#REF!</v>
      </c>
      <c r="N17" s="94" t="e">
        <f>'[3]1.Plánovanie, manažment a kontr'!#REF!</f>
        <v>#REF!</v>
      </c>
      <c r="O17" s="96" t="e">
        <f>'[3]1.Plánovanie, manažment a kontr'!#REF!</f>
        <v>#REF!</v>
      </c>
      <c r="P17" s="255">
        <v>228.58</v>
      </c>
      <c r="Q17" s="258">
        <v>228.58</v>
      </c>
      <c r="R17" s="258">
        <v>0</v>
      </c>
      <c r="S17" s="259">
        <v>0</v>
      </c>
      <c r="T17" s="97">
        <f t="shared" ref="T17:T23" si="6">SUM(U17:W17)</f>
        <v>2046</v>
      </c>
      <c r="U17" s="94">
        <f>'[3]1.Plánovanie, manažment a kontr'!$H$35</f>
        <v>2046</v>
      </c>
      <c r="V17" s="94">
        <f>'[3]1.Plánovanie, manažment a kontr'!$I$35</f>
        <v>0</v>
      </c>
      <c r="W17" s="96">
        <f>'[3]1.Plánovanie,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'[3]1.Plánovanie, manažment a kontr'!#REF!</f>
        <v>#REF!</v>
      </c>
      <c r="N18" s="94" t="e">
        <f>'[3]1.Plánovanie, manažment a kontr'!#REF!</f>
        <v>#REF!</v>
      </c>
      <c r="O18" s="96" t="e">
        <f>'[3]1.Plánovanie, manažment a kontr'!#REF!</f>
        <v>#REF!</v>
      </c>
      <c r="P18" s="255">
        <v>0</v>
      </c>
      <c r="Q18" s="258">
        <v>0</v>
      </c>
      <c r="R18" s="258">
        <v>0</v>
      </c>
      <c r="S18" s="259">
        <v>0</v>
      </c>
      <c r="T18" s="97">
        <f t="shared" si="6"/>
        <v>10904</v>
      </c>
      <c r="U18" s="94">
        <f>'[3]1.Plánovanie, manažment a kontr'!$H$47</f>
        <v>10904</v>
      </c>
      <c r="V18" s="94">
        <f>'[3]1.Plánovanie, manažment a kontr'!$I$47</f>
        <v>0</v>
      </c>
      <c r="W18" s="96">
        <f>'[3]1.Plánovanie,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'[3]1.Plánovanie, manažment a kontr'!#REF!</f>
        <v>#REF!</v>
      </c>
      <c r="N19" s="94" t="e">
        <f>'[3]1.Plánovanie, manažment a kontr'!#REF!</f>
        <v>#REF!</v>
      </c>
      <c r="O19" s="96" t="e">
        <f>'[3]1.Plánovanie, manažment a kontr'!#REF!</f>
        <v>#REF!</v>
      </c>
      <c r="P19" s="255">
        <v>9534.7900000000009</v>
      </c>
      <c r="Q19" s="258">
        <v>7878.26</v>
      </c>
      <c r="R19" s="258">
        <v>1656.53</v>
      </c>
      <c r="S19" s="259">
        <v>0</v>
      </c>
      <c r="T19" s="97">
        <f t="shared" si="6"/>
        <v>32218</v>
      </c>
      <c r="U19" s="94">
        <f>'[3]1.Plánovanie, manažment a kontr'!$H$50</f>
        <v>9650</v>
      </c>
      <c r="V19" s="94">
        <f>'[3]1.Plánovanie, manažment a kontr'!$I$50</f>
        <v>22568</v>
      </c>
      <c r="W19" s="96">
        <f>'[3]1.Plánovanie, manažment a kontr'!$J$50</f>
        <v>0</v>
      </c>
    </row>
    <row r="20" spans="1:23" ht="15.75" x14ac:dyDescent="0.25">
      <c r="A20" s="83"/>
      <c r="B20" s="205" t="s">
        <v>161</v>
      </c>
      <c r="C20" s="212" t="s">
        <v>162</v>
      </c>
      <c r="D20" s="207">
        <f t="shared" si="3"/>
        <v>59900</v>
      </c>
      <c r="E20" s="208">
        <v>59900</v>
      </c>
      <c r="F20" s="208"/>
      <c r="G20" s="209"/>
      <c r="H20" s="207">
        <f t="shared" si="4"/>
        <v>57447</v>
      </c>
      <c r="I20" s="208">
        <v>57447</v>
      </c>
      <c r="J20" s="208"/>
      <c r="K20" s="210"/>
      <c r="L20" s="211" t="e">
        <f t="shared" si="5"/>
        <v>#REF!</v>
      </c>
      <c r="M20" s="208" t="e">
        <f>'[3]1.Plánovanie, manažment a kontr'!#REF!</f>
        <v>#REF!</v>
      </c>
      <c r="N20" s="208" t="e">
        <f>'[3]1.Plánovanie, manažment a kontr'!#REF!</f>
        <v>#REF!</v>
      </c>
      <c r="O20" s="210" t="e">
        <f>'[3]1.Plánovanie, manažment a kontr'!#REF!</f>
        <v>#REF!</v>
      </c>
      <c r="P20" s="255">
        <v>51038.51</v>
      </c>
      <c r="Q20" s="256">
        <v>51038.51</v>
      </c>
      <c r="R20" s="256">
        <v>0</v>
      </c>
      <c r="S20" s="257">
        <v>0</v>
      </c>
      <c r="T20" s="211">
        <f t="shared" si="6"/>
        <v>44354</v>
      </c>
      <c r="U20" s="208">
        <f>'[3]1.Plánovanie, manažment a kontr'!$H$62</f>
        <v>44354</v>
      </c>
      <c r="V20" s="208">
        <f>'[3]1.Plánovanie, manažment a kontr'!$I$62</f>
        <v>0</v>
      </c>
      <c r="W20" s="210">
        <f>'[3]1.Plánovanie, manažment a kontr'!$J$62</f>
        <v>0</v>
      </c>
    </row>
    <row r="21" spans="1:23" ht="15.75" x14ac:dyDescent="0.25">
      <c r="A21" s="80"/>
      <c r="B21" s="205" t="s">
        <v>163</v>
      </c>
      <c r="C21" s="212" t="s">
        <v>164</v>
      </c>
      <c r="D21" s="207">
        <f t="shared" si="3"/>
        <v>1990</v>
      </c>
      <c r="E21" s="208">
        <v>1990</v>
      </c>
      <c r="F21" s="208"/>
      <c r="G21" s="209"/>
      <c r="H21" s="207">
        <f t="shared" si="4"/>
        <v>1990</v>
      </c>
      <c r="I21" s="208">
        <v>1990</v>
      </c>
      <c r="J21" s="208"/>
      <c r="K21" s="210"/>
      <c r="L21" s="211" t="e">
        <f t="shared" si="5"/>
        <v>#REF!</v>
      </c>
      <c r="M21" s="208" t="e">
        <f>'[3]1.Plánovanie, manažment a kontr'!#REF!</f>
        <v>#REF!</v>
      </c>
      <c r="N21" s="208" t="e">
        <f>'[3]1.Plánovanie, manažment a kontr'!#REF!</f>
        <v>#REF!</v>
      </c>
      <c r="O21" s="210" t="e">
        <f>'[3]1.Plánovanie, manažment a kontr'!#REF!</f>
        <v>#REF!</v>
      </c>
      <c r="P21" s="255">
        <v>2300</v>
      </c>
      <c r="Q21" s="256">
        <v>2300</v>
      </c>
      <c r="R21" s="256">
        <v>0</v>
      </c>
      <c r="S21" s="257">
        <v>0</v>
      </c>
      <c r="T21" s="211">
        <f t="shared" si="6"/>
        <v>3600</v>
      </c>
      <c r="U21" s="208">
        <f>'[3]1.Plánovanie, manažment a kontr'!$H$72</f>
        <v>3600</v>
      </c>
      <c r="V21" s="208">
        <f>'[3]1.Plánovanie, manažment a kontr'!$I$72</f>
        <v>0</v>
      </c>
      <c r="W21" s="210">
        <f>'[3]1.Plánovanie, manažment a kontr'!$J$72</f>
        <v>0</v>
      </c>
    </row>
    <row r="22" spans="1:23" ht="15.75" x14ac:dyDescent="0.25">
      <c r="A22" s="80"/>
      <c r="B22" s="205" t="s">
        <v>165</v>
      </c>
      <c r="C22" s="212" t="s">
        <v>166</v>
      </c>
      <c r="D22" s="207">
        <f t="shared" si="3"/>
        <v>5812</v>
      </c>
      <c r="E22" s="208">
        <v>5812</v>
      </c>
      <c r="F22" s="208"/>
      <c r="G22" s="209"/>
      <c r="H22" s="207">
        <f t="shared" si="4"/>
        <v>6006</v>
      </c>
      <c r="I22" s="208">
        <v>6006</v>
      </c>
      <c r="J22" s="208"/>
      <c r="K22" s="210"/>
      <c r="L22" s="211" t="e">
        <f t="shared" si="5"/>
        <v>#REF!</v>
      </c>
      <c r="M22" s="208" t="e">
        <f>'[3]1.Plánovanie, manažment a kontr'!#REF!</f>
        <v>#REF!</v>
      </c>
      <c r="N22" s="208" t="e">
        <f>'[3]1.Plánovanie, manažment a kontr'!#REF!</f>
        <v>#REF!</v>
      </c>
      <c r="O22" s="210" t="e">
        <f>'[3]1.Plánovanie, manažment a kontr'!#REF!</f>
        <v>#REF!</v>
      </c>
      <c r="P22" s="255">
        <v>11821.55</v>
      </c>
      <c r="Q22" s="256">
        <v>11821.55</v>
      </c>
      <c r="R22" s="256">
        <v>0</v>
      </c>
      <c r="S22" s="257">
        <v>0</v>
      </c>
      <c r="T22" s="211">
        <f t="shared" si="6"/>
        <v>8366</v>
      </c>
      <c r="U22" s="208">
        <f>'[3]1.Plánovanie, manažment a kontr'!$H$75</f>
        <v>8366</v>
      </c>
      <c r="V22" s="208">
        <f>'[3]1.Plánovanie, manažment a kontr'!$I$75</f>
        <v>0</v>
      </c>
      <c r="W22" s="210">
        <f>'[3]1.Plánovanie, manažment a kontr'!$J$75</f>
        <v>0</v>
      </c>
    </row>
    <row r="23" spans="1:23" ht="16.5" thickBot="1" x14ac:dyDescent="0.3">
      <c r="A23" s="80"/>
      <c r="B23" s="213" t="s">
        <v>167</v>
      </c>
      <c r="C23" s="214" t="s">
        <v>168</v>
      </c>
      <c r="D23" s="215">
        <f t="shared" si="3"/>
        <v>5673</v>
      </c>
      <c r="E23" s="216">
        <v>3412</v>
      </c>
      <c r="F23" s="216">
        <v>2261</v>
      </c>
      <c r="G23" s="217"/>
      <c r="H23" s="207">
        <f t="shared" si="4"/>
        <v>0</v>
      </c>
      <c r="I23" s="218">
        <v>0</v>
      </c>
      <c r="J23" s="218"/>
      <c r="K23" s="219"/>
      <c r="L23" s="220" t="e">
        <f t="shared" si="5"/>
        <v>#REF!</v>
      </c>
      <c r="M23" s="218" t="e">
        <f>'[3]1.Plánovanie, manažment a kontr'!#REF!</f>
        <v>#REF!</v>
      </c>
      <c r="N23" s="218" t="e">
        <f>'[3]1.Plánovanie, manažment a kontr'!#REF!</f>
        <v>#REF!</v>
      </c>
      <c r="O23" s="219" t="e">
        <f>'[3]1.Plánovanie, manažment a kontr'!#REF!</f>
        <v>#REF!</v>
      </c>
      <c r="P23" s="260">
        <v>0</v>
      </c>
      <c r="Q23" s="261">
        <v>0</v>
      </c>
      <c r="R23" s="261">
        <v>0</v>
      </c>
      <c r="S23" s="262">
        <v>0</v>
      </c>
      <c r="T23" s="220">
        <f t="shared" si="6"/>
        <v>0</v>
      </c>
      <c r="U23" s="218">
        <f>'[3]1.Plánovanie, manažment a kontr'!$H$79</f>
        <v>0</v>
      </c>
      <c r="V23" s="218">
        <f>'[3]1.Plánovanie, manažment a kontr'!$I$79</f>
        <v>0</v>
      </c>
      <c r="W23" s="219">
        <f>'[3]1.Plánovanie, manažment a kontr'!$J$79</f>
        <v>0</v>
      </c>
    </row>
    <row r="24" spans="1:23" s="82" customFormat="1" ht="14.25" x14ac:dyDescent="0.2">
      <c r="A24" s="99"/>
      <c r="B24" s="189" t="s">
        <v>169</v>
      </c>
      <c r="C24" s="190"/>
      <c r="D24" s="184" t="e">
        <f t="shared" ref="D24:W24" si="7">D25+D34+D37</f>
        <v>#REF!</v>
      </c>
      <c r="E24" s="185">
        <f t="shared" si="7"/>
        <v>34198</v>
      </c>
      <c r="F24" s="185" t="e">
        <f t="shared" si="7"/>
        <v>#REF!</v>
      </c>
      <c r="G24" s="186" t="e">
        <f t="shared" si="7"/>
        <v>#REF!</v>
      </c>
      <c r="H24" s="184" t="e">
        <f>H25+H34+H37-1</f>
        <v>#REF!</v>
      </c>
      <c r="I24" s="185">
        <f>I25+I34+I37-1</f>
        <v>23616</v>
      </c>
      <c r="J24" s="185" t="e">
        <f t="shared" si="7"/>
        <v>#REF!</v>
      </c>
      <c r="K24" s="187" t="e">
        <f t="shared" si="7"/>
        <v>#REF!</v>
      </c>
      <c r="L24" s="188" t="e">
        <f t="shared" si="7"/>
        <v>#REF!</v>
      </c>
      <c r="M24" s="185" t="e">
        <f t="shared" si="7"/>
        <v>#REF!</v>
      </c>
      <c r="N24" s="185" t="e">
        <f t="shared" si="7"/>
        <v>#REF!</v>
      </c>
      <c r="O24" s="187" t="e">
        <f t="shared" si="7"/>
        <v>#REF!</v>
      </c>
      <c r="P24" s="263">
        <v>32781.14</v>
      </c>
      <c r="Q24" s="264">
        <v>32781.14</v>
      </c>
      <c r="R24" s="253">
        <v>0</v>
      </c>
      <c r="S24" s="254">
        <v>0</v>
      </c>
      <c r="T24" s="188" t="e">
        <f t="shared" si="7"/>
        <v>#REF!</v>
      </c>
      <c r="U24" s="185">
        <f t="shared" si="7"/>
        <v>14525</v>
      </c>
      <c r="V24" s="185" t="e">
        <f t="shared" si="7"/>
        <v>#REF!</v>
      </c>
      <c r="W24" s="187" t="e">
        <f t="shared" si="7"/>
        <v>#REF!</v>
      </c>
    </row>
    <row r="25" spans="1:23" ht="15.75" x14ac:dyDescent="0.25">
      <c r="A25" s="80"/>
      <c r="B25" s="205" t="s">
        <v>170</v>
      </c>
      <c r="C25" s="221" t="s">
        <v>171</v>
      </c>
      <c r="D25" s="207" t="e">
        <f t="shared" ref="D25:W25" si="8">SUM(D26:D33)</f>
        <v>#REF!</v>
      </c>
      <c r="E25" s="208">
        <f t="shared" si="8"/>
        <v>23986</v>
      </c>
      <c r="F25" s="208" t="e">
        <f t="shared" si="8"/>
        <v>#REF!</v>
      </c>
      <c r="G25" s="209" t="e">
        <f t="shared" si="8"/>
        <v>#REF!</v>
      </c>
      <c r="H25" s="207" t="e">
        <f t="shared" si="8"/>
        <v>#REF!</v>
      </c>
      <c r="I25" s="208">
        <f t="shared" si="8"/>
        <v>7699</v>
      </c>
      <c r="J25" s="208" t="e">
        <f t="shared" si="8"/>
        <v>#REF!</v>
      </c>
      <c r="K25" s="210" t="e">
        <f t="shared" si="8"/>
        <v>#REF!</v>
      </c>
      <c r="L25" s="211" t="e">
        <f t="shared" si="8"/>
        <v>#REF!</v>
      </c>
      <c r="M25" s="208" t="e">
        <f t="shared" si="8"/>
        <v>#REF!</v>
      </c>
      <c r="N25" s="208" t="e">
        <f t="shared" si="8"/>
        <v>#REF!</v>
      </c>
      <c r="O25" s="210" t="e">
        <f t="shared" si="8"/>
        <v>#REF!</v>
      </c>
      <c r="P25" s="255">
        <v>17531.349999999999</v>
      </c>
      <c r="Q25" s="256">
        <v>17531.349999999999</v>
      </c>
      <c r="R25" s="256">
        <v>0</v>
      </c>
      <c r="S25" s="257">
        <v>0</v>
      </c>
      <c r="T25" s="211">
        <f t="shared" si="8"/>
        <v>9375</v>
      </c>
      <c r="U25" s="208">
        <f t="shared" si="8"/>
        <v>9375</v>
      </c>
      <c r="V25" s="208">
        <f t="shared" si="8"/>
        <v>0</v>
      </c>
      <c r="W25" s="210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'[3]2. Propagácia a marketing'!#REF!</f>
        <v>#REF!</v>
      </c>
      <c r="G26" s="95" t="e">
        <f>'[3]2.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'[3]2. Propagácia a marketing'!#REF!</f>
        <v>#REF!</v>
      </c>
      <c r="K26" s="96" t="e">
        <f>'[3]2. Propagácia a marketing'!#REF!</f>
        <v>#REF!</v>
      </c>
      <c r="L26" s="97" t="e">
        <f t="shared" ref="L26:L33" si="11">SUM(M26:O26)</f>
        <v>#REF!</v>
      </c>
      <c r="M26" s="94" t="e">
        <f>'[3]2. Propagácia a marketing'!#REF!</f>
        <v>#REF!</v>
      </c>
      <c r="N26" s="94" t="e">
        <f>'[3]2. Propagácia a marketing'!#REF!</f>
        <v>#REF!</v>
      </c>
      <c r="O26" s="96" t="e">
        <f>'[3]2. Propagácia a marketing'!#REF!</f>
        <v>#REF!</v>
      </c>
      <c r="P26" s="255">
        <v>128.30000000000001</v>
      </c>
      <c r="Q26" s="258">
        <v>128.30000000000001</v>
      </c>
      <c r="R26" s="258">
        <v>0</v>
      </c>
      <c r="S26" s="259">
        <v>0</v>
      </c>
      <c r="T26" s="97">
        <f t="shared" ref="T26:T33" si="12">SUM(U26:W26)</f>
        <v>130</v>
      </c>
      <c r="U26" s="94">
        <f>'[3]2. Propagácia a marketing'!$H$5</f>
        <v>130</v>
      </c>
      <c r="V26" s="94">
        <f>'[3]2. Propagácia a marketing'!$I$5</f>
        <v>0</v>
      </c>
      <c r="W26" s="96">
        <f>'[3]2.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'[3]2. Propagácia a marketing'!#REF!</f>
        <v>#REF!</v>
      </c>
      <c r="G27" s="95" t="e">
        <f>'[3]2. Propagácia a marketing'!#REF!</f>
        <v>#REF!</v>
      </c>
      <c r="H27" s="93" t="e">
        <f t="shared" si="10"/>
        <v>#REF!</v>
      </c>
      <c r="I27" s="94">
        <v>239</v>
      </c>
      <c r="J27" s="94" t="e">
        <f>'[3]2. Propagácia a marketing'!#REF!</f>
        <v>#REF!</v>
      </c>
      <c r="K27" s="96" t="e">
        <f>'[3]2. Propagácia a marketing'!#REF!</f>
        <v>#REF!</v>
      </c>
      <c r="L27" s="97" t="e">
        <f t="shared" si="11"/>
        <v>#REF!</v>
      </c>
      <c r="M27" s="94" t="e">
        <f>'[3]2. Propagácia a marketing'!#REF!</f>
        <v>#REF!</v>
      </c>
      <c r="N27" s="94" t="e">
        <f>'[3]2. Propagácia a marketing'!#REF!</f>
        <v>#REF!</v>
      </c>
      <c r="O27" s="96" t="e">
        <f>'[3]2. Propagácia a marketing'!#REF!</f>
        <v>#REF!</v>
      </c>
      <c r="P27" s="255">
        <v>168.38</v>
      </c>
      <c r="Q27" s="258">
        <v>168.38</v>
      </c>
      <c r="R27" s="258">
        <v>0</v>
      </c>
      <c r="S27" s="259">
        <v>0</v>
      </c>
      <c r="T27" s="97">
        <f t="shared" si="12"/>
        <v>1000</v>
      </c>
      <c r="U27" s="94">
        <f>'[3]2. Propagácia a marketing'!$H$7</f>
        <v>1000</v>
      </c>
      <c r="V27" s="94">
        <f>'[3]2. Propagácia a marketing'!$I$7</f>
        <v>0</v>
      </c>
      <c r="W27" s="96">
        <f>'[3]2.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'[3]2. Propagácia a marketing'!#REF!</f>
        <v>#REF!</v>
      </c>
      <c r="G28" s="95" t="e">
        <f>'[3]2. Propagácia a marketing'!#REF!</f>
        <v>#REF!</v>
      </c>
      <c r="H28" s="93" t="e">
        <f t="shared" si="10"/>
        <v>#REF!</v>
      </c>
      <c r="I28" s="94">
        <v>1669</v>
      </c>
      <c r="J28" s="94" t="e">
        <f>'[3]2. Propagácia a marketing'!#REF!</f>
        <v>#REF!</v>
      </c>
      <c r="K28" s="96" t="e">
        <f>'[3]2. Propagácia a marketing'!#REF!</f>
        <v>#REF!</v>
      </c>
      <c r="L28" s="97" t="e">
        <f t="shared" si="11"/>
        <v>#REF!</v>
      </c>
      <c r="M28" s="94" t="e">
        <f>'[3]2. Propagácia a marketing'!#REF!</f>
        <v>#REF!</v>
      </c>
      <c r="N28" s="94" t="e">
        <f>'[3]2. Propagácia a marketing'!#REF!</f>
        <v>#REF!</v>
      </c>
      <c r="O28" s="96" t="e">
        <f>'[3]2. Propagácia a marketing'!#REF!</f>
        <v>#REF!</v>
      </c>
      <c r="P28" s="255">
        <v>14531.72</v>
      </c>
      <c r="Q28" s="258">
        <v>14531.72</v>
      </c>
      <c r="R28" s="258">
        <v>0</v>
      </c>
      <c r="S28" s="259">
        <v>0</v>
      </c>
      <c r="T28" s="97">
        <f t="shared" si="12"/>
        <v>5765</v>
      </c>
      <c r="U28" s="94">
        <f>'[3]2. Propagácia a marketing'!$H$11</f>
        <v>5765</v>
      </c>
      <c r="V28" s="94">
        <f>'[3]2. Propagácia a marketing'!$I$11</f>
        <v>0</v>
      </c>
      <c r="W28" s="96">
        <f>'[3]2.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'[3]2. Propagácia a marketing'!#REF!</f>
        <v>#REF!</v>
      </c>
      <c r="G29" s="95" t="e">
        <f>'[3]2. Propagácia a marketing'!#REF!</f>
        <v>#REF!</v>
      </c>
      <c r="H29" s="93" t="e">
        <f t="shared" si="10"/>
        <v>#REF!</v>
      </c>
      <c r="I29" s="94">
        <v>2024</v>
      </c>
      <c r="J29" s="94" t="e">
        <f>'[3]2. Propagácia a marketing'!#REF!</f>
        <v>#REF!</v>
      </c>
      <c r="K29" s="96" t="e">
        <f>'[3]2. Propagácia a marketing'!#REF!</f>
        <v>#REF!</v>
      </c>
      <c r="L29" s="97" t="e">
        <f t="shared" si="11"/>
        <v>#REF!</v>
      </c>
      <c r="M29" s="94" t="e">
        <f>'[3]2. Propagácia a marketing'!#REF!</f>
        <v>#REF!</v>
      </c>
      <c r="N29" s="94" t="e">
        <f>'[3]2. Propagácia a marketing'!#REF!</f>
        <v>#REF!</v>
      </c>
      <c r="O29" s="96" t="e">
        <f>'[3]2. Propagácia a marketing'!#REF!</f>
        <v>#REF!</v>
      </c>
      <c r="P29" s="255">
        <v>0</v>
      </c>
      <c r="Q29" s="258">
        <v>0</v>
      </c>
      <c r="R29" s="258">
        <v>0</v>
      </c>
      <c r="S29" s="259">
        <v>0</v>
      </c>
      <c r="T29" s="97">
        <f t="shared" si="12"/>
        <v>1000</v>
      </c>
      <c r="U29" s="94">
        <f>'[3]2. Propagácia a marketing'!$H$19</f>
        <v>1000</v>
      </c>
      <c r="V29" s="94">
        <f>'[3]2. Propagácia a marketing'!$I$19</f>
        <v>0</v>
      </c>
      <c r="W29" s="96">
        <f>'[3]2.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'[3]2. Propagácia a marketing'!#REF!</f>
        <v>#REF!</v>
      </c>
      <c r="G30" s="95" t="e">
        <f>'[3]2. Propagácia a marketing'!#REF!</f>
        <v>#REF!</v>
      </c>
      <c r="H30" s="93" t="e">
        <f t="shared" si="10"/>
        <v>#REF!</v>
      </c>
      <c r="I30" s="94">
        <v>764</v>
      </c>
      <c r="J30" s="94" t="e">
        <f>'[3]2. Propagácia a marketing'!#REF!</f>
        <v>#REF!</v>
      </c>
      <c r="K30" s="96" t="e">
        <f>'[3]2. Propagácia a marketing'!#REF!</f>
        <v>#REF!</v>
      </c>
      <c r="L30" s="97" t="e">
        <f t="shared" si="11"/>
        <v>#REF!</v>
      </c>
      <c r="M30" s="94" t="e">
        <f>'[3]2. Propagácia a marketing'!#REF!</f>
        <v>#REF!</v>
      </c>
      <c r="N30" s="94" t="e">
        <f>'[3]2. Propagácia a marketing'!#REF!</f>
        <v>#REF!</v>
      </c>
      <c r="O30" s="96" t="e">
        <f>'[3]2. Propagácia a marketing'!#REF!</f>
        <v>#REF!</v>
      </c>
      <c r="P30" s="255">
        <v>1265</v>
      </c>
      <c r="Q30" s="258">
        <v>1265</v>
      </c>
      <c r="R30" s="258">
        <v>0</v>
      </c>
      <c r="S30" s="259">
        <v>0</v>
      </c>
      <c r="T30" s="97">
        <f t="shared" si="12"/>
        <v>0</v>
      </c>
      <c r="U30" s="94">
        <f>'[3]2. Propagácia a marketing'!$H$21</f>
        <v>0</v>
      </c>
      <c r="V30" s="94">
        <f>'[3]2. Propagácia a marketing'!$I$21</f>
        <v>0</v>
      </c>
      <c r="W30" s="96">
        <f>'[3]2.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'[3]2. Propagácia a marketing'!#REF!</f>
        <v>#REF!</v>
      </c>
      <c r="G31" s="95" t="e">
        <f>'[3]2. Propagácia a marketing'!#REF!</f>
        <v>#REF!</v>
      </c>
      <c r="H31" s="93" t="e">
        <f t="shared" si="10"/>
        <v>#REF!</v>
      </c>
      <c r="I31" s="94">
        <v>1363</v>
      </c>
      <c r="J31" s="94" t="e">
        <f>'[3]2. Propagácia a marketing'!#REF!</f>
        <v>#REF!</v>
      </c>
      <c r="K31" s="96" t="e">
        <f>'[3]2. Propagácia a marketing'!#REF!</f>
        <v>#REF!</v>
      </c>
      <c r="L31" s="97" t="e">
        <f t="shared" si="11"/>
        <v>#REF!</v>
      </c>
      <c r="M31" s="94" t="e">
        <f>'[3]2. Propagácia a marketing'!#REF!</f>
        <v>#REF!</v>
      </c>
      <c r="N31" s="94" t="e">
        <f>'[3]2. Propagácia a marketing'!#REF!</f>
        <v>#REF!</v>
      </c>
      <c r="O31" s="96" t="e">
        <f>'[3]2. Propagácia a marketing'!#REF!</f>
        <v>#REF!</v>
      </c>
      <c r="P31" s="255">
        <v>60.95</v>
      </c>
      <c r="Q31" s="258">
        <v>60.95</v>
      </c>
      <c r="R31" s="258">
        <v>0</v>
      </c>
      <c r="S31" s="259">
        <v>0</v>
      </c>
      <c r="T31" s="97">
        <f t="shared" si="12"/>
        <v>0</v>
      </c>
      <c r="U31" s="94">
        <f>'[3]2. Propagácia a marketing'!$H$24</f>
        <v>0</v>
      </c>
      <c r="V31" s="94">
        <f>'[3]2. Propagácia a marketing'!$I$24</f>
        <v>0</v>
      </c>
      <c r="W31" s="96">
        <f>'[3]2.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'[3]2. Propagácia a marketing'!#REF!</f>
        <v>#REF!</v>
      </c>
      <c r="G32" s="95" t="e">
        <f>'[3]2. Propagácia a marketing'!#REF!</f>
        <v>#REF!</v>
      </c>
      <c r="H32" s="93" t="e">
        <f t="shared" si="10"/>
        <v>#REF!</v>
      </c>
      <c r="I32" s="94">
        <v>1530</v>
      </c>
      <c r="J32" s="94" t="e">
        <f>'[3]2. Propagácia a marketing'!#REF!</f>
        <v>#REF!</v>
      </c>
      <c r="K32" s="96" t="e">
        <f>'[3]2. Propagácia a marketing'!#REF!</f>
        <v>#REF!</v>
      </c>
      <c r="L32" s="97" t="e">
        <f t="shared" si="11"/>
        <v>#REF!</v>
      </c>
      <c r="M32" s="94" t="e">
        <f>'[3]2. Propagácia a marketing'!#REF!</f>
        <v>#REF!</v>
      </c>
      <c r="N32" s="94" t="e">
        <f>'[3]2. Propagácia a marketing'!#REF!</f>
        <v>#REF!</v>
      </c>
      <c r="O32" s="96" t="e">
        <f>'[3]2. Propagácia a marketing'!#REF!</f>
        <v>#REF!</v>
      </c>
      <c r="P32" s="255">
        <v>1377</v>
      </c>
      <c r="Q32" s="258">
        <v>1377</v>
      </c>
      <c r="R32" s="258">
        <v>0</v>
      </c>
      <c r="S32" s="259">
        <v>0</v>
      </c>
      <c r="T32" s="97">
        <f t="shared" si="12"/>
        <v>1480</v>
      </c>
      <c r="U32" s="94">
        <f>'[3]2. Propagácia a marketing'!$H$26</f>
        <v>1480</v>
      </c>
      <c r="V32" s="94">
        <f>'[3]2. Propagácia a marketing'!$I$26</f>
        <v>0</v>
      </c>
      <c r="W32" s="96">
        <f>'[3]2.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'[3]2. Propagácia a marketing'!#REF!</f>
        <v>#REF!</v>
      </c>
      <c r="G33" s="95" t="e">
        <f>'[3]2. Propagácia a marketing'!#REF!</f>
        <v>#REF!</v>
      </c>
      <c r="H33" s="93" t="e">
        <f t="shared" si="10"/>
        <v>#REF!</v>
      </c>
      <c r="I33" s="94">
        <v>0</v>
      </c>
      <c r="J33" s="94" t="e">
        <f>'[3]2. Propagácia a marketing'!#REF!</f>
        <v>#REF!</v>
      </c>
      <c r="K33" s="96" t="e">
        <f>'[3]2. Propagácia a marketing'!#REF!</f>
        <v>#REF!</v>
      </c>
      <c r="L33" s="97" t="e">
        <f t="shared" si="11"/>
        <v>#REF!</v>
      </c>
      <c r="M33" s="94" t="e">
        <f>'[3]2. Propagácia a marketing'!#REF!</f>
        <v>#REF!</v>
      </c>
      <c r="N33" s="94" t="e">
        <f>'[3]2. Propagácia a marketing'!#REF!</f>
        <v>#REF!</v>
      </c>
      <c r="O33" s="96" t="e">
        <f>'[3]2. Propagácia a marketing'!#REF!</f>
        <v>#REF!</v>
      </c>
      <c r="P33" s="255">
        <v>0</v>
      </c>
      <c r="Q33" s="258">
        <v>0</v>
      </c>
      <c r="R33" s="258">
        <v>0</v>
      </c>
      <c r="S33" s="259">
        <v>0</v>
      </c>
      <c r="T33" s="97">
        <f t="shared" si="12"/>
        <v>0</v>
      </c>
      <c r="U33" s="94">
        <f>'[3]2. Propagácia a marketing'!$H$28</f>
        <v>0</v>
      </c>
      <c r="V33" s="94">
        <f>'[3]2. Propagácia a marketing'!$I$28</f>
        <v>0</v>
      </c>
      <c r="W33" s="96">
        <f>'[3]2. Propagácia a marketing'!$J$28</f>
        <v>0</v>
      </c>
    </row>
    <row r="34" spans="1:23" ht="15.75" x14ac:dyDescent="0.25">
      <c r="A34" s="84"/>
      <c r="B34" s="205" t="s">
        <v>180</v>
      </c>
      <c r="C34" s="221" t="s">
        <v>181</v>
      </c>
      <c r="D34" s="207" t="e">
        <f t="shared" ref="D34:W34" si="13">SUM(D35:D36)</f>
        <v>#REF!</v>
      </c>
      <c r="E34" s="208">
        <f t="shared" si="13"/>
        <v>3755</v>
      </c>
      <c r="F34" s="208" t="e">
        <f t="shared" si="13"/>
        <v>#REF!</v>
      </c>
      <c r="G34" s="209" t="e">
        <f t="shared" si="13"/>
        <v>#REF!</v>
      </c>
      <c r="H34" s="207" t="e">
        <f t="shared" si="13"/>
        <v>#REF!</v>
      </c>
      <c r="I34" s="208">
        <f t="shared" si="13"/>
        <v>11564</v>
      </c>
      <c r="J34" s="208" t="e">
        <f t="shared" si="13"/>
        <v>#REF!</v>
      </c>
      <c r="K34" s="210" t="e">
        <f t="shared" si="13"/>
        <v>#REF!</v>
      </c>
      <c r="L34" s="211" t="e">
        <f t="shared" si="13"/>
        <v>#REF!</v>
      </c>
      <c r="M34" s="208" t="e">
        <f t="shared" si="13"/>
        <v>#REF!</v>
      </c>
      <c r="N34" s="208" t="e">
        <f t="shared" si="13"/>
        <v>#REF!</v>
      </c>
      <c r="O34" s="210" t="e">
        <f t="shared" si="13"/>
        <v>#REF!</v>
      </c>
      <c r="P34" s="255">
        <v>14469.77</v>
      </c>
      <c r="Q34" s="256">
        <v>14469.77</v>
      </c>
      <c r="R34" s="256">
        <v>0</v>
      </c>
      <c r="S34" s="257">
        <v>0</v>
      </c>
      <c r="T34" s="211" t="e">
        <f t="shared" si="13"/>
        <v>#REF!</v>
      </c>
      <c r="U34" s="208">
        <f t="shared" si="13"/>
        <v>4150</v>
      </c>
      <c r="V34" s="208" t="e">
        <f t="shared" si="13"/>
        <v>#REF!</v>
      </c>
      <c r="W34" s="210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'[3]2. Propagácia a marketing'!#REF!</f>
        <v>#REF!</v>
      </c>
      <c r="G35" s="95" t="e">
        <f>'[3]2. Propagácia a marketing'!#REF!</f>
        <v>#REF!</v>
      </c>
      <c r="H35" s="93" t="e">
        <f>SUM(I35:K35)</f>
        <v>#REF!</v>
      </c>
      <c r="I35" s="94">
        <v>9757</v>
      </c>
      <c r="J35" s="94" t="e">
        <f>'[3]2. Propagácia a marketing'!#REF!</f>
        <v>#REF!</v>
      </c>
      <c r="K35" s="96" t="e">
        <f>'[3]2. Propagácia a marketing'!#REF!</f>
        <v>#REF!</v>
      </c>
      <c r="L35" s="97" t="e">
        <f>SUM(M35:O35)</f>
        <v>#REF!</v>
      </c>
      <c r="M35" s="98" t="e">
        <f>'[3]2. Propagácia a marketing'!#REF!</f>
        <v>#REF!</v>
      </c>
      <c r="N35" s="94" t="e">
        <f>'[3]2. Propagácia a marketing'!#REF!</f>
        <v>#REF!</v>
      </c>
      <c r="O35" s="96" t="e">
        <f>'[3]2. Propagácia a marketing'!#REF!</f>
        <v>#REF!</v>
      </c>
      <c r="P35" s="255">
        <v>13379.77</v>
      </c>
      <c r="Q35" s="258">
        <v>13379.77</v>
      </c>
      <c r="R35" s="258">
        <v>0</v>
      </c>
      <c r="S35" s="259">
        <v>0</v>
      </c>
      <c r="T35" s="97">
        <f>SUM(U35:W35)</f>
        <v>3580</v>
      </c>
      <c r="U35" s="98">
        <f>'[3]2. Propagácia a marketing'!$H$32</f>
        <v>3580</v>
      </c>
      <c r="V35" s="94">
        <f>'[3]2. Propagácia a marketing'!$I$32</f>
        <v>0</v>
      </c>
      <c r="W35" s="96">
        <f>'[3]2.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'[3]2. Propagácia a marketing'!#REF!</f>
        <v>#REF!</v>
      </c>
      <c r="G36" s="95" t="e">
        <f>'[3]2. Propagácia a marketing'!#REF!</f>
        <v>#REF!</v>
      </c>
      <c r="H36" s="93" t="e">
        <f>SUM(I36:K36)</f>
        <v>#REF!</v>
      </c>
      <c r="I36" s="94">
        <v>1807</v>
      </c>
      <c r="J36" s="94" t="e">
        <f>'[3]2. Propagácia a marketing'!#REF!</f>
        <v>#REF!</v>
      </c>
      <c r="K36" s="96" t="e">
        <f>'[3]2. Propagácia a marketing'!#REF!</f>
        <v>#REF!</v>
      </c>
      <c r="L36" s="97" t="e">
        <f>SUM(M36:O36)</f>
        <v>#REF!</v>
      </c>
      <c r="M36" s="94" t="e">
        <f>'[3]2. Propagácia a marketing'!#REF!</f>
        <v>#REF!</v>
      </c>
      <c r="N36" s="94" t="e">
        <f>'[3]2. Propagácia a marketing'!#REF!</f>
        <v>#REF!</v>
      </c>
      <c r="O36" s="96" t="e">
        <f>'[3]2. Propagácia a marketing'!#REF!</f>
        <v>#REF!</v>
      </c>
      <c r="P36" s="255">
        <v>1090</v>
      </c>
      <c r="Q36" s="258">
        <v>1090</v>
      </c>
      <c r="R36" s="258">
        <v>0</v>
      </c>
      <c r="S36" s="259">
        <v>0</v>
      </c>
      <c r="T36" s="97" t="e">
        <f>SUM(U36:W36)</f>
        <v>#REF!</v>
      </c>
      <c r="U36" s="94">
        <f>'[3]2. Propagácia a marketing'!$H$54</f>
        <v>570</v>
      </c>
      <c r="V36" s="94" t="e">
        <f>'[3]2. Propagácia a marketing'!$I$54</f>
        <v>#REF!</v>
      </c>
      <c r="W36" s="96" t="e">
        <f>'[3]2. Propagácia a marketing'!$J$54</f>
        <v>#REF!</v>
      </c>
    </row>
    <row r="37" spans="1:23" ht="16.5" thickBot="1" x14ac:dyDescent="0.3">
      <c r="A37" s="108"/>
      <c r="B37" s="213" t="s">
        <v>184</v>
      </c>
      <c r="C37" s="222" t="s">
        <v>185</v>
      </c>
      <c r="D37" s="215" t="e">
        <f>SUM(E37:G37)</f>
        <v>#REF!</v>
      </c>
      <c r="E37" s="216">
        <v>6457</v>
      </c>
      <c r="F37" s="216" t="e">
        <f>'[3]2. Propagácia a marketing'!#REF!</f>
        <v>#REF!</v>
      </c>
      <c r="G37" s="217" t="e">
        <f>'[3]2. Propagácia a marketing'!#REF!</f>
        <v>#REF!</v>
      </c>
      <c r="H37" s="223" t="e">
        <f>SUM(I37:K37)</f>
        <v>#REF!</v>
      </c>
      <c r="I37" s="218">
        <v>4354</v>
      </c>
      <c r="J37" s="218" t="e">
        <f>'[3]2. Propagácia a marketing'!#REF!</f>
        <v>#REF!</v>
      </c>
      <c r="K37" s="219" t="e">
        <f>'[3]2. Propagácia a marketing'!#REF!</f>
        <v>#REF!</v>
      </c>
      <c r="L37" s="224" t="e">
        <f>SUM(M37:O37)</f>
        <v>#REF!</v>
      </c>
      <c r="M37" s="216" t="e">
        <f>'[3]2. Propagácia a marketing'!#REF!</f>
        <v>#REF!</v>
      </c>
      <c r="N37" s="216" t="e">
        <f>'[3]2. Propagácia a marketing'!#REF!</f>
        <v>#REF!</v>
      </c>
      <c r="O37" s="225" t="e">
        <f>'[3]2. Propagácia a marketing'!#REF!</f>
        <v>#REF!</v>
      </c>
      <c r="P37" s="265">
        <v>780.02</v>
      </c>
      <c r="Q37" s="266">
        <v>780.02</v>
      </c>
      <c r="R37" s="266">
        <v>0</v>
      </c>
      <c r="S37" s="267">
        <v>0</v>
      </c>
      <c r="T37" s="224" t="e">
        <f>SUM(U37:W37)</f>
        <v>#REF!</v>
      </c>
      <c r="U37" s="216">
        <f>'[3]2. Propagácia a marketing'!$H$60</f>
        <v>1000</v>
      </c>
      <c r="V37" s="216" t="e">
        <f>'[3]2. Propagácia a marketing'!$I$60</f>
        <v>#REF!</v>
      </c>
      <c r="W37" s="225" t="e">
        <f>'[3]2. Propagácia a marketing'!$J$60</f>
        <v>#REF!</v>
      </c>
    </row>
    <row r="38" spans="1:23" s="82" customFormat="1" ht="14.25" x14ac:dyDescent="0.2">
      <c r="A38" s="114"/>
      <c r="B38" s="189" t="s">
        <v>186</v>
      </c>
      <c r="C38" s="190"/>
      <c r="D38" s="184" t="e">
        <f t="shared" ref="D38:W38" si="14">D39+D40+D41+D46+D47</f>
        <v>#REF!</v>
      </c>
      <c r="E38" s="185">
        <f t="shared" si="14"/>
        <v>271426</v>
      </c>
      <c r="F38" s="185" t="e">
        <f t="shared" si="14"/>
        <v>#REF!</v>
      </c>
      <c r="G38" s="186" t="e">
        <f t="shared" si="14"/>
        <v>#REF!</v>
      </c>
      <c r="H38" s="184" t="e">
        <f t="shared" si="14"/>
        <v>#REF!</v>
      </c>
      <c r="I38" s="185">
        <f t="shared" si="14"/>
        <v>197118</v>
      </c>
      <c r="J38" s="185" t="e">
        <f t="shared" si="14"/>
        <v>#REF!</v>
      </c>
      <c r="K38" s="187" t="e">
        <f t="shared" si="14"/>
        <v>#REF!</v>
      </c>
      <c r="L38" s="188" t="e">
        <f t="shared" si="14"/>
        <v>#REF!</v>
      </c>
      <c r="M38" s="185" t="e">
        <f t="shared" si="14"/>
        <v>#REF!</v>
      </c>
      <c r="N38" s="185" t="e">
        <f t="shared" si="14"/>
        <v>#REF!</v>
      </c>
      <c r="O38" s="187" t="e">
        <f t="shared" si="14"/>
        <v>#REF!</v>
      </c>
      <c r="P38" s="263">
        <v>238983.5</v>
      </c>
      <c r="Q38" s="264">
        <v>213988.5</v>
      </c>
      <c r="R38" s="264">
        <v>24995</v>
      </c>
      <c r="S38" s="268">
        <v>0</v>
      </c>
      <c r="T38" s="188" t="e">
        <f t="shared" si="14"/>
        <v>#REF!</v>
      </c>
      <c r="U38" s="185">
        <f t="shared" si="14"/>
        <v>75414</v>
      </c>
      <c r="V38" s="185" t="e">
        <f t="shared" si="14"/>
        <v>#REF!</v>
      </c>
      <c r="W38" s="187" t="e">
        <f t="shared" si="14"/>
        <v>#REF!</v>
      </c>
    </row>
    <row r="39" spans="1:23" ht="16.5" x14ac:dyDescent="0.3">
      <c r="A39" s="80"/>
      <c r="B39" s="205" t="s">
        <v>187</v>
      </c>
      <c r="C39" s="226" t="s">
        <v>188</v>
      </c>
      <c r="D39" s="207" t="e">
        <f>SUM(E39:G39)</f>
        <v>#REF!</v>
      </c>
      <c r="E39" s="208">
        <v>36902</v>
      </c>
      <c r="F39" s="208">
        <v>4033</v>
      </c>
      <c r="G39" s="209" t="e">
        <f>'[3]3.Interné služby'!#REF!</f>
        <v>#REF!</v>
      </c>
      <c r="H39" s="207" t="e">
        <f>SUM(I39:K39)</f>
        <v>#REF!</v>
      </c>
      <c r="I39" s="208">
        <v>22326</v>
      </c>
      <c r="J39" s="208">
        <v>5865</v>
      </c>
      <c r="K39" s="210" t="e">
        <f>'[3]3.Interné služby'!#REF!</f>
        <v>#REF!</v>
      </c>
      <c r="L39" s="211" t="e">
        <f>SUM(M39:O39)</f>
        <v>#REF!</v>
      </c>
      <c r="M39" s="208" t="e">
        <f>'[3]3.Interné služby'!#REF!</f>
        <v>#REF!</v>
      </c>
      <c r="N39" s="208" t="e">
        <f>'[3]3.Interné služby'!#REF!</f>
        <v>#REF!</v>
      </c>
      <c r="O39" s="210" t="e">
        <f>'[3]3.Interné služby'!#REF!</f>
        <v>#REF!</v>
      </c>
      <c r="P39" s="255">
        <v>27814.74</v>
      </c>
      <c r="Q39" s="256">
        <v>22025.74</v>
      </c>
      <c r="R39" s="256">
        <v>5789</v>
      </c>
      <c r="S39" s="257">
        <v>0</v>
      </c>
      <c r="T39" s="211">
        <f>SUM(U39:W39)</f>
        <v>80864</v>
      </c>
      <c r="U39" s="208">
        <f>'[3]3.Interné služby'!$H$4</f>
        <v>46864</v>
      </c>
      <c r="V39" s="208">
        <f>'[3]3.Interné služby'!$I$4</f>
        <v>34000</v>
      </c>
      <c r="W39" s="210">
        <f>'[3]3.Interné služby'!$J$4</f>
        <v>0</v>
      </c>
    </row>
    <row r="40" spans="1:23" ht="16.5" x14ac:dyDescent="0.3">
      <c r="A40" s="108"/>
      <c r="B40" s="205" t="s">
        <v>189</v>
      </c>
      <c r="C40" s="226" t="s">
        <v>190</v>
      </c>
      <c r="D40" s="207" t="e">
        <f>SUM(E40:G40)</f>
        <v>#REF!</v>
      </c>
      <c r="E40" s="208">
        <v>35806</v>
      </c>
      <c r="F40" s="208" t="e">
        <f>'[3]3.Interné služby'!#REF!</f>
        <v>#REF!</v>
      </c>
      <c r="G40" s="209" t="e">
        <f>'[3]3.Interné služby'!#REF!</f>
        <v>#REF!</v>
      </c>
      <c r="H40" s="207" t="e">
        <f>SUM(I40:K40)</f>
        <v>#REF!</v>
      </c>
      <c r="I40" s="208">
        <v>9784</v>
      </c>
      <c r="J40" s="208"/>
      <c r="K40" s="210" t="e">
        <f>'[3]3.Interné služby'!#REF!</f>
        <v>#REF!</v>
      </c>
      <c r="L40" s="211" t="e">
        <f>SUM(M40:O40)</f>
        <v>#REF!</v>
      </c>
      <c r="M40" s="208">
        <v>30256</v>
      </c>
      <c r="N40" s="208" t="e">
        <f>'[3]3.Interné služby'!#REF!</f>
        <v>#REF!</v>
      </c>
      <c r="O40" s="210" t="e">
        <f>'[3]3.Interné služby'!#REF!</f>
        <v>#REF!</v>
      </c>
      <c r="P40" s="255">
        <v>27507.78</v>
      </c>
      <c r="Q40" s="256">
        <v>27507.78</v>
      </c>
      <c r="R40" s="256">
        <v>0</v>
      </c>
      <c r="S40" s="257">
        <v>0</v>
      </c>
      <c r="T40" s="211">
        <f>SUM(U40:W40)</f>
        <v>10900</v>
      </c>
      <c r="U40" s="208">
        <f>'[3]3.Interné služby'!$H$31</f>
        <v>10900</v>
      </c>
      <c r="V40" s="208">
        <f>'[3]3.Interné služby'!$I$31</f>
        <v>0</v>
      </c>
      <c r="W40" s="210">
        <f>'[3]3.Interné služby'!$J$31</f>
        <v>0</v>
      </c>
    </row>
    <row r="41" spans="1:23" ht="16.5" x14ac:dyDescent="0.3">
      <c r="A41" s="84"/>
      <c r="B41" s="205" t="s">
        <v>191</v>
      </c>
      <c r="C41" s="226" t="s">
        <v>192</v>
      </c>
      <c r="D41" s="207" t="e">
        <f t="shared" ref="D41:W41" si="15">SUM(D42:D45)</f>
        <v>#REF!</v>
      </c>
      <c r="E41" s="208">
        <f t="shared" si="15"/>
        <v>193704</v>
      </c>
      <c r="F41" s="208" t="e">
        <f t="shared" si="15"/>
        <v>#REF!</v>
      </c>
      <c r="G41" s="209" t="e">
        <f t="shared" si="15"/>
        <v>#REF!</v>
      </c>
      <c r="H41" s="207" t="e">
        <f t="shared" si="15"/>
        <v>#REF!</v>
      </c>
      <c r="I41" s="208">
        <f t="shared" si="15"/>
        <v>160978</v>
      </c>
      <c r="J41" s="208">
        <f t="shared" si="15"/>
        <v>46477</v>
      </c>
      <c r="K41" s="210" t="e">
        <f t="shared" si="15"/>
        <v>#REF!</v>
      </c>
      <c r="L41" s="211" t="e">
        <f t="shared" si="15"/>
        <v>#REF!</v>
      </c>
      <c r="M41" s="208" t="e">
        <f t="shared" si="15"/>
        <v>#REF!</v>
      </c>
      <c r="N41" s="208" t="e">
        <f t="shared" si="15"/>
        <v>#REF!</v>
      </c>
      <c r="O41" s="210" t="e">
        <f t="shared" si="15"/>
        <v>#REF!</v>
      </c>
      <c r="P41" s="255">
        <v>178249.2</v>
      </c>
      <c r="Q41" s="256">
        <v>159043.20000000001</v>
      </c>
      <c r="R41" s="256">
        <v>19206</v>
      </c>
      <c r="S41" s="257">
        <v>0</v>
      </c>
      <c r="T41" s="211" t="e">
        <f t="shared" si="15"/>
        <v>#REF!</v>
      </c>
      <c r="U41" s="208">
        <f t="shared" si="15"/>
        <v>12750</v>
      </c>
      <c r="V41" s="208" t="e">
        <f t="shared" si="15"/>
        <v>#REF!</v>
      </c>
      <c r="W41" s="210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'[3]3.Interné služby'!#REF!</f>
        <v>#REF!</v>
      </c>
      <c r="G42" s="95" t="e">
        <f>'[3]3.Interné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'[3]3.Interné služby'!#REF!</f>
        <v>#REF!</v>
      </c>
      <c r="L42" s="97" t="e">
        <f t="shared" ref="L42:L47" si="18">SUM(M42:O42)</f>
        <v>#REF!</v>
      </c>
      <c r="M42" s="94" t="e">
        <f>'[3]3.Interné služby'!#REF!</f>
        <v>#REF!</v>
      </c>
      <c r="N42" s="94" t="e">
        <f>'[3]3.Interné služby'!#REF!</f>
        <v>#REF!</v>
      </c>
      <c r="O42" s="96" t="e">
        <f>'[3]3.Interné služby'!#REF!</f>
        <v>#REF!</v>
      </c>
      <c r="P42" s="255">
        <v>1873.69</v>
      </c>
      <c r="Q42" s="258">
        <v>1873.69</v>
      </c>
      <c r="R42" s="258">
        <v>0</v>
      </c>
      <c r="S42" s="259">
        <v>0</v>
      </c>
      <c r="T42" s="97">
        <f t="shared" ref="T42:T47" si="19">SUM(U42:W42)</f>
        <v>3250</v>
      </c>
      <c r="U42" s="94">
        <f>'[3]3.Interné služby'!$H$37</f>
        <v>3250</v>
      </c>
      <c r="V42" s="94">
        <f>'[3]3.Interné služby'!$I$37</f>
        <v>0</v>
      </c>
      <c r="W42" s="96">
        <f>'[3]3.Interné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'[3]3.Interné služby'!#REF!</f>
        <v>#REF!</v>
      </c>
      <c r="G43" s="95" t="e">
        <f>'[3]3.Interné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'[3]3.Interné služby'!#REF!</f>
        <v>#REF!</v>
      </c>
      <c r="L43" s="97" t="e">
        <f t="shared" si="18"/>
        <v>#REF!</v>
      </c>
      <c r="M43" s="94">
        <v>800</v>
      </c>
      <c r="N43" s="94" t="e">
        <f>'[3]3.Interné služby'!#REF!</f>
        <v>#REF!</v>
      </c>
      <c r="O43" s="96" t="e">
        <f>'[3]3.Interné služby'!#REF!</f>
        <v>#REF!</v>
      </c>
      <c r="P43" s="255">
        <v>108.36</v>
      </c>
      <c r="Q43" s="258">
        <v>108.36</v>
      </c>
      <c r="R43" s="258">
        <v>0</v>
      </c>
      <c r="S43" s="259">
        <v>0</v>
      </c>
      <c r="T43" s="97">
        <f t="shared" si="19"/>
        <v>500</v>
      </c>
      <c r="U43" s="94">
        <f>'[3]3.Interné služby'!$H$43</f>
        <v>500</v>
      </c>
      <c r="V43" s="94">
        <f>'[3]3.Interné služby'!$I$43</f>
        <v>0</v>
      </c>
      <c r="W43" s="96">
        <f>'[3]3.Interné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'[3]3.Interné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'[3]3.Interné služby'!#REF!</f>
        <v>#REF!</v>
      </c>
      <c r="L44" s="97" t="e">
        <f t="shared" si="18"/>
        <v>#REF!</v>
      </c>
      <c r="M44" s="94" t="e">
        <f>'[3]3.Interné služby'!#REF!</f>
        <v>#REF!</v>
      </c>
      <c r="N44" s="94">
        <v>20700</v>
      </c>
      <c r="O44" s="96" t="e">
        <f>'[3]3.Interné služby'!#REF!</f>
        <v>#REF!</v>
      </c>
      <c r="P44" s="255">
        <v>155457.15</v>
      </c>
      <c r="Q44" s="258">
        <v>154761.15</v>
      </c>
      <c r="R44" s="258">
        <v>696</v>
      </c>
      <c r="S44" s="259">
        <v>0</v>
      </c>
      <c r="T44" s="97">
        <f t="shared" si="19"/>
        <v>5000</v>
      </c>
      <c r="U44" s="94">
        <f>'[1]3.Interné služby'!$Q$19</f>
        <v>5000</v>
      </c>
      <c r="V44" s="94">
        <f>'[3]3.Interné služby'!$I$47</f>
        <v>0</v>
      </c>
      <c r="W44" s="96">
        <f>'[3]3.Interné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'[3]3.Interné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'[3]3.Interné služby'!#REF!</f>
        <v>#REF!</v>
      </c>
      <c r="L45" s="97" t="e">
        <f t="shared" si="18"/>
        <v>#REF!</v>
      </c>
      <c r="M45" s="94" t="e">
        <f>'[3]3.Interné služby'!#REF!</f>
        <v>#REF!</v>
      </c>
      <c r="N45" s="98" t="e">
        <f>'[3]3.Interné služby'!#REF!</f>
        <v>#REF!</v>
      </c>
      <c r="O45" s="96" t="e">
        <f>'[3]3.Interné služby'!#REF!</f>
        <v>#REF!</v>
      </c>
      <c r="P45" s="255">
        <v>20810</v>
      </c>
      <c r="Q45" s="258">
        <v>2300</v>
      </c>
      <c r="R45" s="258">
        <v>18510</v>
      </c>
      <c r="S45" s="259">
        <v>0</v>
      </c>
      <c r="T45" s="97" t="e">
        <f t="shared" si="19"/>
        <v>#REF!</v>
      </c>
      <c r="U45" s="94">
        <f>'[3]3.Interné služby'!$H$99</f>
        <v>4000</v>
      </c>
      <c r="V45" s="98" t="e">
        <f>'[3]3.Interné služby'!$I$99</f>
        <v>#REF!</v>
      </c>
      <c r="W45" s="96" t="e">
        <f>'[3]3.Interné služby'!$J$99</f>
        <v>#REF!</v>
      </c>
    </row>
    <row r="46" spans="1:23" ht="16.5" x14ac:dyDescent="0.3">
      <c r="A46" s="84"/>
      <c r="B46" s="205" t="s">
        <v>197</v>
      </c>
      <c r="C46" s="226" t="s">
        <v>198</v>
      </c>
      <c r="D46" s="207" t="e">
        <f t="shared" si="16"/>
        <v>#REF!</v>
      </c>
      <c r="E46" s="208">
        <v>1736</v>
      </c>
      <c r="F46" s="208" t="e">
        <f>'[3]3.Interné služby'!#REF!</f>
        <v>#REF!</v>
      </c>
      <c r="G46" s="209" t="e">
        <f>'[3]3.Interné služby'!#REF!</f>
        <v>#REF!</v>
      </c>
      <c r="H46" s="207" t="e">
        <f t="shared" si="17"/>
        <v>#REF!</v>
      </c>
      <c r="I46" s="208">
        <v>2400</v>
      </c>
      <c r="J46" s="208" t="e">
        <f>'[3]3.Interné služby'!#REF!</f>
        <v>#REF!</v>
      </c>
      <c r="K46" s="210" t="e">
        <f>'[3]3.Interné služby'!#REF!</f>
        <v>#REF!</v>
      </c>
      <c r="L46" s="211" t="e">
        <f t="shared" si="18"/>
        <v>#REF!</v>
      </c>
      <c r="M46" s="208">
        <v>3900</v>
      </c>
      <c r="N46" s="208" t="e">
        <f>'[3]3.Interné služby'!#REF!</f>
        <v>#REF!</v>
      </c>
      <c r="O46" s="210" t="e">
        <f>'[3]3.Interné služby'!#REF!</f>
        <v>#REF!</v>
      </c>
      <c r="P46" s="255">
        <v>4017.4</v>
      </c>
      <c r="Q46" s="256">
        <v>4017.4</v>
      </c>
      <c r="R46" s="256">
        <v>0</v>
      </c>
      <c r="S46" s="257">
        <v>0</v>
      </c>
      <c r="T46" s="211" t="e">
        <f t="shared" si="19"/>
        <v>#REF!</v>
      </c>
      <c r="U46" s="208">
        <f>'[3]3.Interné služby'!$H$101</f>
        <v>3700</v>
      </c>
      <c r="V46" s="208" t="e">
        <f>'[3]3.Interné služby'!$I$102</f>
        <v>#REF!</v>
      </c>
      <c r="W46" s="210" t="e">
        <f>'[3]3.Interné služby'!$J$102</f>
        <v>#REF!</v>
      </c>
    </row>
    <row r="47" spans="1:23" ht="17.25" thickBot="1" x14ac:dyDescent="0.35">
      <c r="A47" s="84"/>
      <c r="B47" s="227" t="s">
        <v>199</v>
      </c>
      <c r="C47" s="228" t="s">
        <v>200</v>
      </c>
      <c r="D47" s="215" t="e">
        <f t="shared" si="16"/>
        <v>#REF!</v>
      </c>
      <c r="E47" s="216">
        <v>3278</v>
      </c>
      <c r="F47" s="216" t="e">
        <f>'[3]3.Interné služby'!#REF!</f>
        <v>#REF!</v>
      </c>
      <c r="G47" s="217" t="e">
        <f>'[3]3.Interné služby'!#REF!</f>
        <v>#REF!</v>
      </c>
      <c r="H47" s="223" t="e">
        <f t="shared" si="17"/>
        <v>#REF!</v>
      </c>
      <c r="I47" s="218">
        <v>1630</v>
      </c>
      <c r="J47" s="218" t="e">
        <f>'[3]3.Interné služby'!#REF!</f>
        <v>#REF!</v>
      </c>
      <c r="K47" s="219" t="e">
        <f>'[3]3.Interné služby'!#REF!</f>
        <v>#REF!</v>
      </c>
      <c r="L47" s="224" t="e">
        <f t="shared" si="18"/>
        <v>#REF!</v>
      </c>
      <c r="M47" s="216" t="e">
        <f>'[3]3.Interné služby'!#REF!</f>
        <v>#REF!</v>
      </c>
      <c r="N47" s="216" t="e">
        <f>'[3]3.Interné služby'!#REF!</f>
        <v>#REF!</v>
      </c>
      <c r="O47" s="225" t="e">
        <f>'[3]3.Interné služby'!#REF!</f>
        <v>#REF!</v>
      </c>
      <c r="P47" s="265">
        <v>1394.38</v>
      </c>
      <c r="Q47" s="266">
        <v>1394.38</v>
      </c>
      <c r="R47" s="266">
        <v>0</v>
      </c>
      <c r="S47" s="267">
        <v>0</v>
      </c>
      <c r="T47" s="224" t="e">
        <f t="shared" si="19"/>
        <v>#REF!</v>
      </c>
      <c r="U47" s="216">
        <f>'[3]3.Interné služby'!$H$108</f>
        <v>1200</v>
      </c>
      <c r="V47" s="216" t="e">
        <f>'[3]3.Interné služby'!$I$108</f>
        <v>#REF!</v>
      </c>
      <c r="W47" s="225" t="e">
        <f>'[3]3.Interné služby'!$J$108</f>
        <v>#REF!</v>
      </c>
    </row>
    <row r="48" spans="1:23" s="82" customFormat="1" ht="14.25" x14ac:dyDescent="0.2">
      <c r="B48" s="191" t="s">
        <v>201</v>
      </c>
      <c r="C48" s="192"/>
      <c r="D48" s="184" t="e">
        <f t="shared" ref="D48:J48" si="20">D49+D50+D53</f>
        <v>#REF!</v>
      </c>
      <c r="E48" s="185" t="e">
        <f t="shared" si="20"/>
        <v>#REF!</v>
      </c>
      <c r="F48" s="185" t="e">
        <f t="shared" si="20"/>
        <v>#REF!</v>
      </c>
      <c r="G48" s="186" t="e">
        <f t="shared" si="20"/>
        <v>#REF!</v>
      </c>
      <c r="H48" s="184" t="e">
        <f>H49+H50+H53-1</f>
        <v>#REF!</v>
      </c>
      <c r="I48" s="185" t="e">
        <f>I49+I50+I53-1</f>
        <v>#REF!</v>
      </c>
      <c r="J48" s="185">
        <f t="shared" si="20"/>
        <v>0</v>
      </c>
      <c r="K48" s="187" t="e">
        <f>K49+K53</f>
        <v>#REF!</v>
      </c>
      <c r="L48" s="188" t="e">
        <f t="shared" ref="L48:W48" si="21">L49+L50+L53</f>
        <v>#REF!</v>
      </c>
      <c r="M48" s="185" t="e">
        <f t="shared" si="21"/>
        <v>#REF!</v>
      </c>
      <c r="N48" s="185" t="e">
        <f t="shared" si="21"/>
        <v>#REF!</v>
      </c>
      <c r="O48" s="187" t="e">
        <f t="shared" si="21"/>
        <v>#REF!</v>
      </c>
      <c r="P48" s="263">
        <v>24336.959999999999</v>
      </c>
      <c r="Q48" s="264">
        <v>24336.959999999999</v>
      </c>
      <c r="R48" s="264">
        <v>0</v>
      </c>
      <c r="S48" s="268">
        <v>0</v>
      </c>
      <c r="T48" s="188" t="e">
        <f t="shared" si="21"/>
        <v>#REF!</v>
      </c>
      <c r="U48" s="185">
        <f t="shared" si="21"/>
        <v>32547</v>
      </c>
      <c r="V48" s="185" t="e">
        <f t="shared" si="21"/>
        <v>#REF!</v>
      </c>
      <c r="W48" s="187" t="e">
        <f t="shared" si="21"/>
        <v>#REF!</v>
      </c>
    </row>
    <row r="49" spans="1:23" ht="16.5" x14ac:dyDescent="0.3">
      <c r="A49" s="84"/>
      <c r="B49" s="205" t="s">
        <v>202</v>
      </c>
      <c r="C49" s="226" t="s">
        <v>203</v>
      </c>
      <c r="D49" s="207" t="e">
        <f>SUM(E49:G49)</f>
        <v>#REF!</v>
      </c>
      <c r="E49" s="208">
        <v>15307.52</v>
      </c>
      <c r="F49" s="208" t="e">
        <f>'[3]4.Služby občanov'!#REF!</f>
        <v>#REF!</v>
      </c>
      <c r="G49" s="209" t="e">
        <f>'[3]4.Služby občanov'!#REF!</f>
        <v>#REF!</v>
      </c>
      <c r="H49" s="207" t="e">
        <f>SUM(I49:K49)</f>
        <v>#REF!</v>
      </c>
      <c r="I49" s="208">
        <v>26456</v>
      </c>
      <c r="J49" s="208">
        <v>0</v>
      </c>
      <c r="K49" s="210" t="e">
        <f>'[3]4.Služby občanov'!#REF!</f>
        <v>#REF!</v>
      </c>
      <c r="L49" s="211" t="e">
        <f>SUM(M49:O49)</f>
        <v>#REF!</v>
      </c>
      <c r="M49" s="208" t="e">
        <f>'[3]4.Služby občanov'!#REF!</f>
        <v>#REF!</v>
      </c>
      <c r="N49" s="208" t="e">
        <f>'[3]4.Služby občanov'!#REF!</f>
        <v>#REF!</v>
      </c>
      <c r="O49" s="210" t="e">
        <f>'[3]4.Služby občanov'!#REF!</f>
        <v>#REF!</v>
      </c>
      <c r="P49" s="255">
        <v>8958.27</v>
      </c>
      <c r="Q49" s="256">
        <v>8958.27</v>
      </c>
      <c r="R49" s="256">
        <v>0</v>
      </c>
      <c r="S49" s="257">
        <v>0</v>
      </c>
      <c r="T49" s="211">
        <f>SUM(U49:W49)</f>
        <v>15600</v>
      </c>
      <c r="U49" s="208">
        <f>'[3]4.Služby občanov'!$H$4</f>
        <v>15600</v>
      </c>
      <c r="V49" s="208">
        <f>'[3]4.Služby občanov'!$I$4</f>
        <v>0</v>
      </c>
      <c r="W49" s="210">
        <f>'[3]4.Služby občanov'!$J$4</f>
        <v>0</v>
      </c>
    </row>
    <row r="50" spans="1:23" ht="15.75" x14ac:dyDescent="0.25">
      <c r="A50" s="116"/>
      <c r="B50" s="205" t="s">
        <v>204</v>
      </c>
      <c r="C50" s="221" t="s">
        <v>205</v>
      </c>
      <c r="D50" s="207" t="e">
        <f t="shared" ref="D50:W50" si="22">SUM(D51:D52)</f>
        <v>#REF!</v>
      </c>
      <c r="E50" s="208">
        <f t="shared" si="22"/>
        <v>23245.5</v>
      </c>
      <c r="F50" s="208" t="e">
        <f t="shared" si="22"/>
        <v>#REF!</v>
      </c>
      <c r="G50" s="209" t="e">
        <f t="shared" si="22"/>
        <v>#REF!</v>
      </c>
      <c r="H50" s="207" t="e">
        <f t="shared" si="22"/>
        <v>#REF!</v>
      </c>
      <c r="I50" s="208" t="e">
        <f t="shared" si="22"/>
        <v>#REF!</v>
      </c>
      <c r="J50" s="208">
        <f t="shared" si="22"/>
        <v>0</v>
      </c>
      <c r="K50" s="210" t="e">
        <f t="shared" si="22"/>
        <v>#REF!</v>
      </c>
      <c r="L50" s="211" t="e">
        <f t="shared" si="22"/>
        <v>#REF!</v>
      </c>
      <c r="M50" s="208" t="e">
        <f t="shared" si="22"/>
        <v>#REF!</v>
      </c>
      <c r="N50" s="208" t="e">
        <f t="shared" si="22"/>
        <v>#REF!</v>
      </c>
      <c r="O50" s="210" t="e">
        <f t="shared" si="22"/>
        <v>#REF!</v>
      </c>
      <c r="P50" s="255">
        <v>15378.69</v>
      </c>
      <c r="Q50" s="256">
        <v>15378.69</v>
      </c>
      <c r="R50" s="256">
        <v>0</v>
      </c>
      <c r="S50" s="257">
        <v>0</v>
      </c>
      <c r="T50" s="211" t="e">
        <f t="shared" si="22"/>
        <v>#REF!</v>
      </c>
      <c r="U50" s="208">
        <f t="shared" si="22"/>
        <v>16937</v>
      </c>
      <c r="V50" s="208" t="e">
        <f t="shared" si="22"/>
        <v>#REF!</v>
      </c>
      <c r="W50" s="210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'[3]4.Služby občanov'!#REF!</f>
        <v>#REF!</v>
      </c>
      <c r="G51" s="95" t="e">
        <f>'[3]4.Služby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'[3]4.Služby občanov'!#REF!</f>
        <v>#REF!</v>
      </c>
      <c r="L51" s="97" t="e">
        <f>SUM(M51:O51)</f>
        <v>#REF!</v>
      </c>
      <c r="M51" s="94" t="e">
        <f>'[3]4.Služby občanov'!#REF!</f>
        <v>#REF!</v>
      </c>
      <c r="N51" s="94" t="e">
        <f>'[3]4.Služby občanov'!#REF!</f>
        <v>#REF!</v>
      </c>
      <c r="O51" s="96" t="e">
        <f>'[3]4.Služby občanov'!#REF!</f>
        <v>#REF!</v>
      </c>
      <c r="P51" s="255">
        <v>15378.69</v>
      </c>
      <c r="Q51" s="269">
        <v>15378.69</v>
      </c>
      <c r="R51" s="269">
        <v>0</v>
      </c>
      <c r="S51" s="270">
        <v>0</v>
      </c>
      <c r="T51" s="97">
        <f>SUM(U51:W51)</f>
        <v>16737</v>
      </c>
      <c r="U51" s="94">
        <f>'[3]4.Služby občanov'!$H$18</f>
        <v>16737</v>
      </c>
      <c r="V51" s="94">
        <f>'[3]4.Služby občanov'!$I$18</f>
        <v>0</v>
      </c>
      <c r="W51" s="96">
        <f>'[3]4.Služby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'[3]4.Služby občanov'!#REF!</f>
        <v>#REF!</v>
      </c>
      <c r="G52" s="95" t="e">
        <f>'[3]4.Služby občanov'!#REF!</f>
        <v>#REF!</v>
      </c>
      <c r="H52" s="93" t="e">
        <f>SUM(I52:K52)</f>
        <v>#REF!</v>
      </c>
      <c r="I52" s="94" t="e">
        <f>'[3]4.Služby občanov'!#REF!</f>
        <v>#REF!</v>
      </c>
      <c r="J52" s="94">
        <v>0</v>
      </c>
      <c r="K52" s="96" t="e">
        <f>'[3]4.Služby občanov'!#REF!</f>
        <v>#REF!</v>
      </c>
      <c r="L52" s="97" t="e">
        <f>SUM(M52:O52)</f>
        <v>#REF!</v>
      </c>
      <c r="M52" s="94" t="e">
        <f>'[3]4.Služby občanov'!#REF!</f>
        <v>#REF!</v>
      </c>
      <c r="N52" s="94" t="e">
        <f>'[3]4.Služby občanov'!#REF!</f>
        <v>#REF!</v>
      </c>
      <c r="O52" s="96" t="e">
        <f>'[3]4.Služby občanov'!#REF!</f>
        <v>#REF!</v>
      </c>
      <c r="P52" s="255">
        <v>0</v>
      </c>
      <c r="Q52" s="269">
        <v>0</v>
      </c>
      <c r="R52" s="269">
        <v>0</v>
      </c>
      <c r="S52" s="270">
        <v>0</v>
      </c>
      <c r="T52" s="97" t="e">
        <f>SUM(U52:W52)</f>
        <v>#REF!</v>
      </c>
      <c r="U52" s="94">
        <f>'[3]4.Služby občanov'!$H$26</f>
        <v>200</v>
      </c>
      <c r="V52" s="94" t="e">
        <f>'[3]4.Služby občanov'!$I$26</f>
        <v>#REF!</v>
      </c>
      <c r="W52" s="96" t="e">
        <f>'[3]4.Služby občanov'!$J$26</f>
        <v>#REF!</v>
      </c>
    </row>
    <row r="53" spans="1:23" ht="16.5" thickBot="1" x14ac:dyDescent="0.3">
      <c r="A53" s="116"/>
      <c r="B53" s="229" t="s">
        <v>208</v>
      </c>
      <c r="C53" s="222" t="s">
        <v>209</v>
      </c>
      <c r="D53" s="215" t="e">
        <f>SUM(E53:G53)</f>
        <v>#REF!</v>
      </c>
      <c r="E53" s="216" t="e">
        <f>'[3]4.Služby občanov'!#REF!</f>
        <v>#REF!</v>
      </c>
      <c r="F53" s="216" t="e">
        <f>'[3]4.Služby občanov'!#REF!</f>
        <v>#REF!</v>
      </c>
      <c r="G53" s="217" t="e">
        <f>'[3]4.Služby občanov'!#REF!</f>
        <v>#REF!</v>
      </c>
      <c r="H53" s="223" t="e">
        <f>SUM(I53:K53)</f>
        <v>#REF!</v>
      </c>
      <c r="I53" s="218">
        <v>0</v>
      </c>
      <c r="J53" s="218">
        <v>0</v>
      </c>
      <c r="K53" s="219" t="e">
        <f>'[3]4.Služby občanov'!#REF!</f>
        <v>#REF!</v>
      </c>
      <c r="L53" s="224" t="e">
        <f>SUM(M53:O53)</f>
        <v>#REF!</v>
      </c>
      <c r="M53" s="216" t="e">
        <f>'[3]4.Služby občanov'!#REF!</f>
        <v>#REF!</v>
      </c>
      <c r="N53" s="216" t="e">
        <f>'[3]4.Služby občanov'!#REF!</f>
        <v>#REF!</v>
      </c>
      <c r="O53" s="225" t="e">
        <f>'[3]4.Služby občanov'!#REF!</f>
        <v>#REF!</v>
      </c>
      <c r="P53" s="265">
        <v>0</v>
      </c>
      <c r="Q53" s="271">
        <v>0</v>
      </c>
      <c r="R53" s="271">
        <v>0</v>
      </c>
      <c r="S53" s="272">
        <v>0</v>
      </c>
      <c r="T53" s="224" t="e">
        <f>SUM(U53:W53)</f>
        <v>#REF!</v>
      </c>
      <c r="U53" s="216">
        <f>'[3]4.Služby občanov'!$H$28</f>
        <v>10</v>
      </c>
      <c r="V53" s="216" t="e">
        <f>'[3]4.Služby občanov'!$I$28</f>
        <v>#REF!</v>
      </c>
      <c r="W53" s="225" t="e">
        <f>'[3]4.Služby občanov'!$J$28</f>
        <v>#REF!</v>
      </c>
    </row>
    <row r="54" spans="1:23" s="82" customFormat="1" ht="14.25" x14ac:dyDescent="0.2">
      <c r="A54" s="116"/>
      <c r="B54" s="189" t="s">
        <v>210</v>
      </c>
      <c r="C54" s="193"/>
      <c r="D54" s="184" t="e">
        <f t="shared" ref="D54:W54" si="23">D55+D60+D61+D62+D67</f>
        <v>#REF!</v>
      </c>
      <c r="E54" s="185" t="e">
        <f t="shared" si="23"/>
        <v>#REF!</v>
      </c>
      <c r="F54" s="185" t="e">
        <f t="shared" si="23"/>
        <v>#REF!</v>
      </c>
      <c r="G54" s="186" t="e">
        <f t="shared" si="23"/>
        <v>#REF!</v>
      </c>
      <c r="H54" s="184" t="e">
        <f t="shared" si="23"/>
        <v>#REF!</v>
      </c>
      <c r="I54" s="185" t="e">
        <f t="shared" si="23"/>
        <v>#REF!</v>
      </c>
      <c r="J54" s="185" t="e">
        <f t="shared" si="23"/>
        <v>#REF!</v>
      </c>
      <c r="K54" s="187" t="e">
        <f t="shared" si="23"/>
        <v>#REF!</v>
      </c>
      <c r="L54" s="188" t="e">
        <f t="shared" si="23"/>
        <v>#REF!</v>
      </c>
      <c r="M54" s="185" t="e">
        <f t="shared" si="23"/>
        <v>#REF!</v>
      </c>
      <c r="N54" s="185" t="e">
        <f t="shared" si="23"/>
        <v>#REF!</v>
      </c>
      <c r="O54" s="187" t="e">
        <f t="shared" si="23"/>
        <v>#REF!</v>
      </c>
      <c r="P54" s="263">
        <v>667835.55000000005</v>
      </c>
      <c r="Q54" s="264">
        <v>666135.55000000005</v>
      </c>
      <c r="R54" s="264">
        <v>1700</v>
      </c>
      <c r="S54" s="268">
        <v>0</v>
      </c>
      <c r="T54" s="188" t="e">
        <f t="shared" si="23"/>
        <v>#REF!</v>
      </c>
      <c r="U54" s="185" t="e">
        <f t="shared" si="23"/>
        <v>#REF!</v>
      </c>
      <c r="V54" s="185" t="e">
        <f t="shared" si="23"/>
        <v>#REF!</v>
      </c>
      <c r="W54" s="187" t="e">
        <f t="shared" si="23"/>
        <v>#REF!</v>
      </c>
    </row>
    <row r="55" spans="1:23" ht="15.75" x14ac:dyDescent="0.25">
      <c r="A55" s="116"/>
      <c r="B55" s="230" t="s">
        <v>211</v>
      </c>
      <c r="C55" s="231" t="s">
        <v>212</v>
      </c>
      <c r="D55" s="207" t="e">
        <f t="shared" ref="D55:W55" si="24">SUM(D56:D59)</f>
        <v>#REF!</v>
      </c>
      <c r="E55" s="208">
        <f t="shared" si="24"/>
        <v>496158.19</v>
      </c>
      <c r="F55" s="208" t="e">
        <f t="shared" si="24"/>
        <v>#REF!</v>
      </c>
      <c r="G55" s="209" t="e">
        <f t="shared" si="24"/>
        <v>#REF!</v>
      </c>
      <c r="H55" s="207" t="e">
        <f t="shared" si="24"/>
        <v>#REF!</v>
      </c>
      <c r="I55" s="208">
        <f t="shared" si="24"/>
        <v>480129.99</v>
      </c>
      <c r="J55" s="208" t="e">
        <f t="shared" si="24"/>
        <v>#REF!</v>
      </c>
      <c r="K55" s="210" t="e">
        <f t="shared" si="24"/>
        <v>#REF!</v>
      </c>
      <c r="L55" s="211" t="e">
        <f t="shared" si="24"/>
        <v>#REF!</v>
      </c>
      <c r="M55" s="208" t="e">
        <f t="shared" si="24"/>
        <v>#REF!</v>
      </c>
      <c r="N55" s="208" t="e">
        <f t="shared" si="24"/>
        <v>#REF!</v>
      </c>
      <c r="O55" s="210" t="e">
        <f t="shared" si="24"/>
        <v>#REF!</v>
      </c>
      <c r="P55" s="255">
        <v>463317.1</v>
      </c>
      <c r="Q55" s="256">
        <v>461617.1</v>
      </c>
      <c r="R55" s="256">
        <v>1700</v>
      </c>
      <c r="S55" s="257">
        <v>0</v>
      </c>
      <c r="T55" s="211" t="e">
        <f t="shared" si="24"/>
        <v>#REF!</v>
      </c>
      <c r="U55" s="208">
        <f t="shared" si="24"/>
        <v>468983</v>
      </c>
      <c r="V55" s="208">
        <f t="shared" si="24"/>
        <v>6100</v>
      </c>
      <c r="W55" s="210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'[3]5.Bezpečnosť,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'[3]5.Bezpečnosť, právo a por.'!#REF!</f>
        <v>#REF!</v>
      </c>
      <c r="L56" s="97" t="e">
        <f t="shared" ref="L56:L61" si="27">SUM(M56:O56)</f>
        <v>#REF!</v>
      </c>
      <c r="M56" s="94" t="e">
        <f>'[3]5.Bezpečnosť, právo a por.'!#REF!</f>
        <v>#REF!</v>
      </c>
      <c r="N56" s="94" t="e">
        <f>'[3]5.Bezpečnosť, právo a por.'!#REF!</f>
        <v>#REF!</v>
      </c>
      <c r="O56" s="96" t="e">
        <f>'[3]5.Bezpečnosť, právo a por.'!#REF!</f>
        <v>#REF!</v>
      </c>
      <c r="P56" s="255">
        <v>326420.21000000002</v>
      </c>
      <c r="Q56" s="258">
        <v>324720.21000000002</v>
      </c>
      <c r="R56" s="258">
        <v>1700</v>
      </c>
      <c r="S56" s="259">
        <v>0</v>
      </c>
      <c r="T56" s="97">
        <f t="shared" ref="T56:T61" si="28">SUM(U56:W56)</f>
        <v>326718</v>
      </c>
      <c r="U56" s="94">
        <f>'[3]5.Bezpečnosť, právo a por.'!$H$5</f>
        <v>326718</v>
      </c>
      <c r="V56" s="94">
        <f>'[3]5.Bezpečnosť, právo a por.'!$I$5</f>
        <v>0</v>
      </c>
      <c r="W56" s="96">
        <f>'[3]5.Bezpečnosť,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'[3]5.Bezpečnosť,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'[3]5.Bezpečnosť, právo a por.'!#REF!</f>
        <v>#REF!</v>
      </c>
      <c r="L57" s="97" t="e">
        <f t="shared" si="27"/>
        <v>#REF!</v>
      </c>
      <c r="M57" s="94" t="e">
        <f>'[3]5.Bezpečnosť, právo a por.'!#REF!</f>
        <v>#REF!</v>
      </c>
      <c r="N57" s="94" t="e">
        <f>'[3]5.Bezpečnosť, právo a por.'!#REF!</f>
        <v>#REF!</v>
      </c>
      <c r="O57" s="96" t="e">
        <f>'[3]5.Bezpečnosť, právo a por.'!#REF!</f>
        <v>#REF!</v>
      </c>
      <c r="P57" s="255">
        <v>63166.06</v>
      </c>
      <c r="Q57" s="258">
        <v>63166.06</v>
      </c>
      <c r="R57" s="258">
        <v>0</v>
      </c>
      <c r="S57" s="259">
        <v>0</v>
      </c>
      <c r="T57" s="97">
        <f t="shared" si="28"/>
        <v>70911</v>
      </c>
      <c r="U57" s="94">
        <f>'[3]5.Bezpečnosť, právo a por.'!$H$49</f>
        <v>67861</v>
      </c>
      <c r="V57" s="94">
        <f>'[3]5.Bezpečnosť, právo a por.'!$I$49</f>
        <v>3050</v>
      </c>
      <c r="W57" s="96">
        <f>'[3]5.Bezpečnosť,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'[3]5.Bezpečnosť,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'[3]5.Bezpečnosť, právo a por.'!#REF!</f>
        <v>#REF!</v>
      </c>
      <c r="L58" s="97" t="e">
        <f t="shared" si="27"/>
        <v>#REF!</v>
      </c>
      <c r="M58" s="94" t="e">
        <f>'[3]5.Bezpečnosť, právo a por.'!#REF!</f>
        <v>#REF!</v>
      </c>
      <c r="N58" s="94" t="e">
        <f>'[3]5.Bezpečnosť, právo a por.'!#REF!</f>
        <v>#REF!</v>
      </c>
      <c r="O58" s="96" t="e">
        <f>'[3]5.Bezpečnosť, právo a por.'!#REF!</f>
        <v>#REF!</v>
      </c>
      <c r="P58" s="255">
        <v>35909.43</v>
      </c>
      <c r="Q58" s="258">
        <v>35909.43</v>
      </c>
      <c r="R58" s="258">
        <v>0</v>
      </c>
      <c r="S58" s="259">
        <v>0</v>
      </c>
      <c r="T58" s="97" t="e">
        <f t="shared" si="28"/>
        <v>#REF!</v>
      </c>
      <c r="U58" s="94">
        <f>'[3]5.Bezpečnosť, právo a por.'!$H$66</f>
        <v>36887</v>
      </c>
      <c r="V58" s="94">
        <f>'[3]5.Bezpečnosť, právo a por.'!$I$65</f>
        <v>3050</v>
      </c>
      <c r="W58" s="96" t="e">
        <f>'[3]5.Bezpečnosť,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'[3]5.Bezpečnosť, právo a por.'!#REF!</f>
        <v>#REF!</v>
      </c>
      <c r="G59" s="95" t="e">
        <f>'[3]5.Bezpečnosť, právo a por.'!#REF!</f>
        <v>#REF!</v>
      </c>
      <c r="H59" s="93" t="e">
        <f t="shared" si="26"/>
        <v>#REF!</v>
      </c>
      <c r="I59" s="94">
        <v>40098.5</v>
      </c>
      <c r="J59" s="94" t="e">
        <f>'[3]5.Bezpečnosť, právo a por.'!#REF!</f>
        <v>#REF!</v>
      </c>
      <c r="K59" s="96" t="e">
        <f>'[3]5.Bezpečnosť, právo a por.'!#REF!</f>
        <v>#REF!</v>
      </c>
      <c r="L59" s="97" t="e">
        <f t="shared" si="27"/>
        <v>#REF!</v>
      </c>
      <c r="M59" s="94" t="e">
        <f>'[3]5.Bezpečnosť, právo a por.'!#REF!</f>
        <v>#REF!</v>
      </c>
      <c r="N59" s="94" t="e">
        <f>'[3]5.Bezpečnosť, právo a por.'!#REF!</f>
        <v>#REF!</v>
      </c>
      <c r="O59" s="96" t="e">
        <f>'[3]5.Bezpečnosť, právo a por.'!#REF!</f>
        <v>#REF!</v>
      </c>
      <c r="P59" s="255">
        <v>37821.4</v>
      </c>
      <c r="Q59" s="258">
        <v>37821.4</v>
      </c>
      <c r="R59" s="258">
        <v>0</v>
      </c>
      <c r="S59" s="259">
        <v>0</v>
      </c>
      <c r="T59" s="97" t="e">
        <f t="shared" si="28"/>
        <v>#REF!</v>
      </c>
      <c r="U59" s="94">
        <f>'[3]5.Bezpečnosť, právo a por.'!$H$69</f>
        <v>37517</v>
      </c>
      <c r="V59" s="94">
        <f>'[3]5.Bezpečnosť, právo a por.'!$I$69</f>
        <v>0</v>
      </c>
      <c r="W59" s="96" t="e">
        <f>'[3]5.Bezpečnosť, právo a por.'!$J$68</f>
        <v>#REF!</v>
      </c>
    </row>
    <row r="60" spans="1:23" ht="16.5" x14ac:dyDescent="0.3">
      <c r="A60" s="84"/>
      <c r="B60" s="230" t="s">
        <v>217</v>
      </c>
      <c r="C60" s="226" t="s">
        <v>218</v>
      </c>
      <c r="D60" s="207" t="e">
        <f t="shared" si="25"/>
        <v>#REF!</v>
      </c>
      <c r="E60" s="208" t="e">
        <f>'[3]5.Bezpečnosť, právo a por.'!#REF!</f>
        <v>#REF!</v>
      </c>
      <c r="F60" s="208" t="e">
        <f>'[3]5.Bezpečnosť, právo a por.'!#REF!</f>
        <v>#REF!</v>
      </c>
      <c r="G60" s="209" t="e">
        <f>'[3]5.Bezpečnosť, právo a por.'!#REF!</f>
        <v>#REF!</v>
      </c>
      <c r="H60" s="207" t="e">
        <f t="shared" si="26"/>
        <v>#REF!</v>
      </c>
      <c r="I60" s="208">
        <v>0</v>
      </c>
      <c r="J60" s="208">
        <v>0</v>
      </c>
      <c r="K60" s="210" t="e">
        <f>'[3]5.Bezpečnosť, právo a por.'!#REF!</f>
        <v>#REF!</v>
      </c>
      <c r="L60" s="211" t="e">
        <f t="shared" si="27"/>
        <v>#REF!</v>
      </c>
      <c r="M60" s="208" t="e">
        <f>'[3]5.Bezpečnosť, právo a por.'!#REF!</f>
        <v>#REF!</v>
      </c>
      <c r="N60" s="208" t="e">
        <f>'[3]5.Bezpečnosť, právo a por.'!#REF!</f>
        <v>#REF!</v>
      </c>
      <c r="O60" s="210" t="e">
        <f>'[3]5.Bezpečnosť, právo a por.'!#REF!</f>
        <v>#REF!</v>
      </c>
      <c r="P60" s="255">
        <v>0</v>
      </c>
      <c r="Q60" s="256">
        <v>0</v>
      </c>
      <c r="R60" s="256">
        <v>0</v>
      </c>
      <c r="S60" s="257">
        <v>0</v>
      </c>
      <c r="T60" s="211" t="e">
        <f t="shared" si="28"/>
        <v>#REF!</v>
      </c>
      <c r="U60" s="208">
        <f>'[3]5.Bezpečnosť, právo a por.'!$H$77</f>
        <v>0</v>
      </c>
      <c r="V60" s="208"/>
      <c r="W60" s="210" t="e">
        <f>'[3]5.Bezpečnosť, právo a por.'!$J$76</f>
        <v>#REF!</v>
      </c>
    </row>
    <row r="61" spans="1:23" ht="16.5" x14ac:dyDescent="0.3">
      <c r="A61" s="84"/>
      <c r="B61" s="230" t="s">
        <v>219</v>
      </c>
      <c r="C61" s="226" t="s">
        <v>220</v>
      </c>
      <c r="D61" s="207" t="e">
        <f t="shared" si="25"/>
        <v>#REF!</v>
      </c>
      <c r="E61" s="208">
        <v>1286</v>
      </c>
      <c r="F61" s="208" t="e">
        <f>'[3]5.Bezpečnosť, právo a por.'!#REF!</f>
        <v>#REF!</v>
      </c>
      <c r="G61" s="209" t="e">
        <f>'[3]5.Bezpečnosť, právo a por.'!#REF!</f>
        <v>#REF!</v>
      </c>
      <c r="H61" s="207" t="e">
        <f t="shared" si="26"/>
        <v>#REF!</v>
      </c>
      <c r="I61" s="208">
        <v>797</v>
      </c>
      <c r="J61" s="208">
        <v>0</v>
      </c>
      <c r="K61" s="210" t="e">
        <f>'[3]5.Bezpečnosť, právo a por.'!#REF!</f>
        <v>#REF!</v>
      </c>
      <c r="L61" s="211" t="e">
        <f t="shared" si="27"/>
        <v>#REF!</v>
      </c>
      <c r="M61" s="208" t="e">
        <f>'[3]5.Bezpečnosť, právo a por.'!#REF!</f>
        <v>#REF!</v>
      </c>
      <c r="N61" s="208" t="e">
        <f>'[3]5.Bezpečnosť, právo a por.'!#REF!</f>
        <v>#REF!</v>
      </c>
      <c r="O61" s="210" t="e">
        <f>'[3]5.Bezpečnosť, právo a por.'!#REF!</f>
        <v>#REF!</v>
      </c>
      <c r="P61" s="255">
        <v>914.32</v>
      </c>
      <c r="Q61" s="256">
        <v>914.32</v>
      </c>
      <c r="R61" s="256">
        <v>0</v>
      </c>
      <c r="S61" s="257">
        <v>0</v>
      </c>
      <c r="T61" s="211" t="e">
        <f t="shared" si="28"/>
        <v>#REF!</v>
      </c>
      <c r="U61" s="208">
        <f>'[3]5.Bezpečnosť, právo a por.'!$H$79</f>
        <v>1650</v>
      </c>
      <c r="V61" s="208" t="e">
        <f>'[3]5.Bezpečnosť, právo a por.'!$I$78</f>
        <v>#REF!</v>
      </c>
      <c r="W61" s="210" t="e">
        <f>'[3]5.Bezpečnosť, právo a por.'!$J$78</f>
        <v>#REF!</v>
      </c>
    </row>
    <row r="62" spans="1:23" ht="15.75" x14ac:dyDescent="0.25">
      <c r="A62" s="84"/>
      <c r="B62" s="230" t="s">
        <v>221</v>
      </c>
      <c r="C62" s="221" t="s">
        <v>222</v>
      </c>
      <c r="D62" s="207" t="e">
        <f>SUM(D63:D66)</f>
        <v>#REF!</v>
      </c>
      <c r="E62" s="208">
        <f>SUM(E63:E66)</f>
        <v>255279.5</v>
      </c>
      <c r="F62" s="208" t="e">
        <f>SUM(F63:F66)</f>
        <v>#REF!</v>
      </c>
      <c r="G62" s="209" t="e">
        <f>SUM(G63:G66)</f>
        <v>#REF!</v>
      </c>
      <c r="H62" s="207" t="e">
        <f t="shared" si="26"/>
        <v>#REF!</v>
      </c>
      <c r="I62" s="208">
        <f t="shared" ref="I62:W62" si="29">SUM(I63:I66)</f>
        <v>270995.5</v>
      </c>
      <c r="J62" s="208">
        <f t="shared" si="29"/>
        <v>0</v>
      </c>
      <c r="K62" s="210" t="e">
        <f t="shared" si="29"/>
        <v>#REF!</v>
      </c>
      <c r="L62" s="211" t="e">
        <f t="shared" si="29"/>
        <v>#REF!</v>
      </c>
      <c r="M62" s="208" t="e">
        <f t="shared" si="29"/>
        <v>#REF!</v>
      </c>
      <c r="N62" s="208" t="e">
        <f t="shared" si="29"/>
        <v>#REF!</v>
      </c>
      <c r="O62" s="210" t="e">
        <f t="shared" si="29"/>
        <v>#REF!</v>
      </c>
      <c r="P62" s="255">
        <v>203577.43</v>
      </c>
      <c r="Q62" s="256">
        <v>203577.43</v>
      </c>
      <c r="R62" s="256">
        <v>0</v>
      </c>
      <c r="S62" s="257">
        <v>0</v>
      </c>
      <c r="T62" s="211" t="e">
        <f t="shared" si="29"/>
        <v>#REF!</v>
      </c>
      <c r="U62" s="208" t="e">
        <f t="shared" si="29"/>
        <v>#REF!</v>
      </c>
      <c r="V62" s="208">
        <f t="shared" si="29"/>
        <v>64679</v>
      </c>
      <c r="W62" s="210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'[3]5.Bezpečnosť, právo a por.'!#REF!</f>
        <v>#REF!</v>
      </c>
      <c r="G63" s="95" t="e">
        <f>'[3]5.Bezpečnosť,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'[3]5.Bezpečnosť, právo a por.'!#REF!</f>
        <v>#REF!</v>
      </c>
      <c r="L63" s="97" t="e">
        <f>SUM(M63:O63)</f>
        <v>#REF!</v>
      </c>
      <c r="M63" s="94" t="e">
        <f>'[3]5.Bezpečnosť, právo a por.'!#REF!</f>
        <v>#REF!</v>
      </c>
      <c r="N63" s="94" t="e">
        <f>'[3]5.Bezpečnosť, právo a por.'!#REF!</f>
        <v>#REF!</v>
      </c>
      <c r="O63" s="96" t="e">
        <f>'[3]5.Bezpečnosť, právo a por.'!#REF!</f>
        <v>#REF!</v>
      </c>
      <c r="P63" s="255">
        <v>0</v>
      </c>
      <c r="Q63" s="258">
        <v>0</v>
      </c>
      <c r="R63" s="258">
        <v>0</v>
      </c>
      <c r="S63" s="259">
        <v>0</v>
      </c>
      <c r="T63" s="97">
        <f>SUM(U63:W63)</f>
        <v>251721</v>
      </c>
      <c r="U63" s="94">
        <f>'[3]5.Bezpečnosť, právo a por.'!$H$95</f>
        <v>187042</v>
      </c>
      <c r="V63" s="94">
        <f>'[3]5.Bezpečnosť, právo a por.'!$I$94</f>
        <v>64679</v>
      </c>
      <c r="W63" s="96">
        <f>'[3]5.Bezpečnosť,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'[3]5.Bezpečnosť, právo a por.'!#REF!</f>
        <v>#REF!</v>
      </c>
      <c r="G64" s="95" t="e">
        <f>'[3]5.Bezpečnosť,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'[3]5.Bezpečnosť, právo a por.'!#REF!</f>
        <v>#REF!</v>
      </c>
      <c r="L64" s="97" t="e">
        <f>SUM(M64:O64)</f>
        <v>#REF!</v>
      </c>
      <c r="M64" s="94">
        <v>42145</v>
      </c>
      <c r="N64" s="94" t="e">
        <f>'[3]5.Bezpečnosť, právo a por.'!#REF!</f>
        <v>#REF!</v>
      </c>
      <c r="O64" s="96" t="e">
        <f>'[3]5.Bezpečnosť, právo a por.'!#REF!</f>
        <v>#REF!</v>
      </c>
      <c r="P64" s="255">
        <v>32015.58</v>
      </c>
      <c r="Q64" s="258">
        <v>32015.58</v>
      </c>
      <c r="R64" s="258">
        <v>0</v>
      </c>
      <c r="S64" s="259">
        <v>0</v>
      </c>
      <c r="T64" s="97" t="e">
        <f>SUM(U64:W64)</f>
        <v>#REF!</v>
      </c>
      <c r="U64" s="94">
        <f>'[3]5.Bezpečnosť, právo a por.'!$H$101</f>
        <v>74900</v>
      </c>
      <c r="V64" s="94"/>
      <c r="W64" s="96" t="e">
        <f>'[3]5.Bezpečnosť,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'[3]5.Bezpečnosť, právo a por.'!#REF!</f>
        <v>#REF!</v>
      </c>
      <c r="G65" s="95" t="e">
        <f>'[3]5.Bezpečnosť,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'[3]5.Bezpečnosť, právo a por.'!#REF!</f>
        <v>#REF!</v>
      </c>
      <c r="L65" s="97" t="e">
        <f>SUM(M65:O65)</f>
        <v>#REF!</v>
      </c>
      <c r="M65" s="94" t="e">
        <f>'[3]5.Bezpečnosť, právo a por.'!#REF!</f>
        <v>#REF!</v>
      </c>
      <c r="N65" s="94" t="e">
        <f>'[3]5.Bezpečnosť, právo a por.'!#REF!</f>
        <v>#REF!</v>
      </c>
      <c r="O65" s="96" t="e">
        <f>'[3]5.Bezpečnosť, právo a por.'!#REF!</f>
        <v>#REF!</v>
      </c>
      <c r="P65" s="255">
        <v>171561.85</v>
      </c>
      <c r="Q65" s="258">
        <v>171561.85</v>
      </c>
      <c r="R65" s="258">
        <v>0</v>
      </c>
      <c r="S65" s="259">
        <v>0</v>
      </c>
      <c r="T65" s="97" t="e">
        <f>SUM(U65:W65)</f>
        <v>#REF!</v>
      </c>
      <c r="U65" s="94" t="e">
        <f>'[3]5.Bezpečnosť, právo a por.'!$H$103</f>
        <v>#REF!</v>
      </c>
      <c r="V65" s="94">
        <f>'[3]5.Bezpečnosť, právo a por.'!$I$102</f>
        <v>0</v>
      </c>
      <c r="W65" s="96">
        <f>'[3]5.Bezpečnosť,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'[3]5.Bezpečnosť, právo a por.'!#REF!</f>
        <v>#REF!</v>
      </c>
      <c r="G66" s="95" t="e">
        <f>'[3]5.Bezpečnosť,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'[3]5.Bezpečnosť, právo a por.'!#REF!</f>
        <v>#REF!</v>
      </c>
      <c r="L66" s="97" t="e">
        <f>SUM(M66:O66)</f>
        <v>#REF!</v>
      </c>
      <c r="M66" s="94">
        <v>0</v>
      </c>
      <c r="N66" s="94" t="e">
        <f>'[3]5.Bezpečnosť, právo a por.'!#REF!</f>
        <v>#REF!</v>
      </c>
      <c r="O66" s="96" t="e">
        <f>'[3]5.Bezpečnosť, právo a por.'!#REF!</f>
        <v>#REF!</v>
      </c>
      <c r="P66" s="255">
        <v>0</v>
      </c>
      <c r="Q66" s="258">
        <v>0</v>
      </c>
      <c r="R66" s="258">
        <v>0</v>
      </c>
      <c r="S66" s="259">
        <v>0</v>
      </c>
      <c r="T66" s="97" t="e">
        <f>SUM(U66:W66)</f>
        <v>#REF!</v>
      </c>
      <c r="U66" s="94" t="e">
        <f>'[3]5.Bezpečnosť, právo a por.'!$H$106</f>
        <v>#REF!</v>
      </c>
      <c r="V66" s="94">
        <f>'[3]5.Bezpečnosť, právo a por.'!$I$105</f>
        <v>0</v>
      </c>
      <c r="W66" s="96">
        <f>'[3]5.Bezpečnosť, právo a por.'!$J$105</f>
        <v>0</v>
      </c>
    </row>
    <row r="67" spans="1:23" ht="15.75" x14ac:dyDescent="0.25">
      <c r="A67" s="116"/>
      <c r="B67" s="230" t="s">
        <v>227</v>
      </c>
      <c r="C67" s="232" t="s">
        <v>228</v>
      </c>
      <c r="D67" s="207" t="e">
        <f t="shared" ref="D67:W67" si="30">SUM(D68:D69)</f>
        <v>#REF!</v>
      </c>
      <c r="E67" s="208">
        <f t="shared" si="30"/>
        <v>1324</v>
      </c>
      <c r="F67" s="208" t="e">
        <f t="shared" si="30"/>
        <v>#REF!</v>
      </c>
      <c r="G67" s="209" t="e">
        <f t="shared" si="30"/>
        <v>#REF!</v>
      </c>
      <c r="H67" s="207" t="e">
        <f t="shared" si="30"/>
        <v>#REF!</v>
      </c>
      <c r="I67" s="208" t="e">
        <f t="shared" si="30"/>
        <v>#REF!</v>
      </c>
      <c r="J67" s="208">
        <f t="shared" si="30"/>
        <v>0</v>
      </c>
      <c r="K67" s="210" t="e">
        <f t="shared" si="30"/>
        <v>#REF!</v>
      </c>
      <c r="L67" s="211" t="e">
        <f t="shared" si="30"/>
        <v>#REF!</v>
      </c>
      <c r="M67" s="208" t="e">
        <f t="shared" si="30"/>
        <v>#REF!</v>
      </c>
      <c r="N67" s="208" t="e">
        <f t="shared" si="30"/>
        <v>#REF!</v>
      </c>
      <c r="O67" s="210" t="e">
        <f t="shared" si="30"/>
        <v>#REF!</v>
      </c>
      <c r="P67" s="255">
        <v>26.7</v>
      </c>
      <c r="Q67" s="256">
        <v>26.7</v>
      </c>
      <c r="R67" s="256">
        <v>0</v>
      </c>
      <c r="S67" s="257">
        <v>0</v>
      </c>
      <c r="T67" s="211" t="e">
        <f t="shared" si="30"/>
        <v>#REF!</v>
      </c>
      <c r="U67" s="208" t="e">
        <f t="shared" si="30"/>
        <v>#REF!</v>
      </c>
      <c r="V67" s="208">
        <f t="shared" si="30"/>
        <v>0</v>
      </c>
      <c r="W67" s="210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'[3]5.Bezpečnosť, právo a por.'!#REF!</f>
        <v>#REF!</v>
      </c>
      <c r="G68" s="95" t="e">
        <f>'[3]5.Bezpečnosť, právo a por.'!#REF!</f>
        <v>#REF!</v>
      </c>
      <c r="H68" s="93" t="e">
        <f>SUM(I68:K68)</f>
        <v>#REF!</v>
      </c>
      <c r="I68" s="94" t="e">
        <f>'[3]5.Bezpečnosť, právo a por.'!#REF!</f>
        <v>#REF!</v>
      </c>
      <c r="J68" s="94">
        <v>0</v>
      </c>
      <c r="K68" s="96" t="e">
        <f>'[3]5.Bezpečnosť, právo a por.'!#REF!</f>
        <v>#REF!</v>
      </c>
      <c r="L68" s="97" t="e">
        <f>SUM(M68:O68)</f>
        <v>#REF!</v>
      </c>
      <c r="M68" s="94" t="e">
        <f>'[3]5.Bezpečnosť, právo a por.'!#REF!</f>
        <v>#REF!</v>
      </c>
      <c r="N68" s="94" t="e">
        <f>'[3]5.Bezpečnosť, právo a por.'!#REF!</f>
        <v>#REF!</v>
      </c>
      <c r="O68" s="96" t="e">
        <f>'[3]5.Bezpečnosť, právo a por.'!#REF!</f>
        <v>#REF!</v>
      </c>
      <c r="P68" s="255">
        <v>26.7</v>
      </c>
      <c r="Q68" s="258">
        <v>26.7</v>
      </c>
      <c r="R68" s="258">
        <v>0</v>
      </c>
      <c r="S68" s="259">
        <v>0</v>
      </c>
      <c r="T68" s="97">
        <f>SUM(U68:W68)</f>
        <v>1300</v>
      </c>
      <c r="U68" s="94">
        <f>'[3]5.Bezpečnosť, právo a por.'!$H$110</f>
        <v>1300</v>
      </c>
      <c r="V68" s="94">
        <f>'[3]5.Bezpečnosť, právo a por.'!$I$109</f>
        <v>0</v>
      </c>
      <c r="W68" s="96">
        <f>'[3]5.Bezpečnosť,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'[3]5.Bezpečnosť, právo a por.'!#REF!</f>
        <v>#REF!</v>
      </c>
      <c r="G69" s="104" t="e">
        <f>'[3]5.Bezpečnosť,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'[3]5.Bezpečnosť, právo a por.'!#REF!</f>
        <v>#REF!</v>
      </c>
      <c r="L69" s="112" t="e">
        <f>SUM(M69:O69)</f>
        <v>#REF!</v>
      </c>
      <c r="M69" s="103" t="e">
        <f>'[3]5.Bezpečnosť, právo a por.'!#REF!</f>
        <v>#REF!</v>
      </c>
      <c r="N69" s="103" t="e">
        <f>'[3]5.Bezpečnosť, právo a por.'!#REF!</f>
        <v>#REF!</v>
      </c>
      <c r="O69" s="113" t="e">
        <f>'[3]5.Bezpečnosť, právo a por.'!#REF!</f>
        <v>#REF!</v>
      </c>
      <c r="P69" s="265">
        <v>0</v>
      </c>
      <c r="Q69" s="273">
        <v>0</v>
      </c>
      <c r="R69" s="273">
        <v>0</v>
      </c>
      <c r="S69" s="274">
        <v>0</v>
      </c>
      <c r="T69" s="112" t="e">
        <f>SUM(U69:W69)</f>
        <v>#REF!</v>
      </c>
      <c r="U69" s="103" t="e">
        <f>'[3]5.Bezpečnosť, právo a por.'!$H$112</f>
        <v>#REF!</v>
      </c>
      <c r="V69" s="103">
        <f>'[3]5.Bezpečnosť, právo a por.'!$I$111</f>
        <v>0</v>
      </c>
      <c r="W69" s="113">
        <f>'[3]5.Bezpečnosť, právo a por.'!$J$111</f>
        <v>0</v>
      </c>
    </row>
    <row r="70" spans="1:23" s="82" customFormat="1" ht="14.25" x14ac:dyDescent="0.2">
      <c r="A70" s="116"/>
      <c r="B70" s="189" t="s">
        <v>231</v>
      </c>
      <c r="C70" s="190"/>
      <c r="D70" s="184" t="e">
        <f t="shared" ref="D70:W70" si="31">D71+D74+D77</f>
        <v>#REF!</v>
      </c>
      <c r="E70" s="185">
        <f t="shared" si="31"/>
        <v>702096</v>
      </c>
      <c r="F70" s="185" t="e">
        <f t="shared" si="31"/>
        <v>#REF!</v>
      </c>
      <c r="G70" s="186" t="e">
        <f t="shared" si="31"/>
        <v>#REF!</v>
      </c>
      <c r="H70" s="184" t="e">
        <f t="shared" si="31"/>
        <v>#REF!</v>
      </c>
      <c r="I70" s="185">
        <f t="shared" si="31"/>
        <v>666597</v>
      </c>
      <c r="J70" s="185" t="e">
        <f t="shared" si="31"/>
        <v>#REF!</v>
      </c>
      <c r="K70" s="187" t="e">
        <f t="shared" si="31"/>
        <v>#REF!</v>
      </c>
      <c r="L70" s="188" t="e">
        <f t="shared" si="31"/>
        <v>#REF!</v>
      </c>
      <c r="M70" s="185" t="e">
        <f t="shared" si="31"/>
        <v>#REF!</v>
      </c>
      <c r="N70" s="185" t="e">
        <f t="shared" si="31"/>
        <v>#REF!</v>
      </c>
      <c r="O70" s="187" t="e">
        <f t="shared" si="31"/>
        <v>#REF!</v>
      </c>
      <c r="P70" s="263">
        <v>698135.79</v>
      </c>
      <c r="Q70" s="264">
        <v>698135.79</v>
      </c>
      <c r="R70" s="264">
        <v>0</v>
      </c>
      <c r="S70" s="268">
        <v>0</v>
      </c>
      <c r="T70" s="188">
        <f t="shared" si="31"/>
        <v>749050</v>
      </c>
      <c r="U70" s="185">
        <f t="shared" si="31"/>
        <v>743850</v>
      </c>
      <c r="V70" s="185">
        <f t="shared" si="31"/>
        <v>5200</v>
      </c>
      <c r="W70" s="187">
        <f t="shared" si="31"/>
        <v>0</v>
      </c>
    </row>
    <row r="71" spans="1:23" ht="15.75" x14ac:dyDescent="0.25">
      <c r="A71" s="108"/>
      <c r="B71" s="230" t="s">
        <v>232</v>
      </c>
      <c r="C71" s="232" t="s">
        <v>233</v>
      </c>
      <c r="D71" s="207" t="e">
        <f t="shared" ref="D71:W71" si="32">SUM(D72:D73)</f>
        <v>#REF!</v>
      </c>
      <c r="E71" s="208">
        <f t="shared" si="32"/>
        <v>518307</v>
      </c>
      <c r="F71" s="208" t="e">
        <f t="shared" si="32"/>
        <v>#REF!</v>
      </c>
      <c r="G71" s="209" t="e">
        <f t="shared" si="32"/>
        <v>#REF!</v>
      </c>
      <c r="H71" s="207" t="e">
        <f t="shared" si="32"/>
        <v>#REF!</v>
      </c>
      <c r="I71" s="208">
        <f t="shared" si="32"/>
        <v>514507</v>
      </c>
      <c r="J71" s="208" t="e">
        <f t="shared" si="32"/>
        <v>#REF!</v>
      </c>
      <c r="K71" s="210" t="e">
        <f t="shared" si="32"/>
        <v>#REF!</v>
      </c>
      <c r="L71" s="211" t="e">
        <f t="shared" si="32"/>
        <v>#REF!</v>
      </c>
      <c r="M71" s="208" t="e">
        <f t="shared" si="32"/>
        <v>#REF!</v>
      </c>
      <c r="N71" s="208" t="e">
        <f t="shared" si="32"/>
        <v>#REF!</v>
      </c>
      <c r="O71" s="210" t="e">
        <f t="shared" si="32"/>
        <v>#REF!</v>
      </c>
      <c r="P71" s="255">
        <v>524715.03</v>
      </c>
      <c r="Q71" s="256">
        <v>524715.03</v>
      </c>
      <c r="R71" s="256">
        <v>0</v>
      </c>
      <c r="S71" s="257">
        <v>0</v>
      </c>
      <c r="T71" s="211">
        <f t="shared" si="32"/>
        <v>564050</v>
      </c>
      <c r="U71" s="208">
        <f t="shared" si="32"/>
        <v>558850</v>
      </c>
      <c r="V71" s="208">
        <f t="shared" si="32"/>
        <v>5200</v>
      </c>
      <c r="W71" s="210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'[3]6.Odpadové hospodárstvo'!#REF!</f>
        <v>#REF!</v>
      </c>
      <c r="G72" s="95" t="e">
        <f>'[3]6.Odpadové hospodárstvo'!#REF!</f>
        <v>#REF!</v>
      </c>
      <c r="H72" s="93" t="e">
        <f>SUM(I72:K72)</f>
        <v>#REF!</v>
      </c>
      <c r="I72" s="94">
        <v>265</v>
      </c>
      <c r="J72" s="94" t="e">
        <f>'[3]6.Odpadové hospodárstvo'!#REF!</f>
        <v>#REF!</v>
      </c>
      <c r="K72" s="96" t="e">
        <f>'[3]6.Odpadové hospodárstvo'!#REF!</f>
        <v>#REF!</v>
      </c>
      <c r="L72" s="97" t="e">
        <f>SUM(M72:O72)</f>
        <v>#REF!</v>
      </c>
      <c r="M72" s="94" t="e">
        <f>'[3]6.Odpadové hospodárstvo'!#REF!</f>
        <v>#REF!</v>
      </c>
      <c r="N72" s="94" t="e">
        <f>'[3]6.Odpadové hospodárstvo'!#REF!</f>
        <v>#REF!</v>
      </c>
      <c r="O72" s="96" t="e">
        <f>'[3]6.Odpadové hospodárstvo'!#REF!</f>
        <v>#REF!</v>
      </c>
      <c r="P72" s="255">
        <v>287.73</v>
      </c>
      <c r="Q72" s="258">
        <v>287.73</v>
      </c>
      <c r="R72" s="258">
        <v>0</v>
      </c>
      <c r="S72" s="259">
        <v>0</v>
      </c>
      <c r="T72" s="97">
        <f>SUM(U72:W72)</f>
        <v>6050</v>
      </c>
      <c r="U72" s="94">
        <f>'[3]6.Odpadové hospodárstvo'!$H$5</f>
        <v>850</v>
      </c>
      <c r="V72" s="94">
        <f>'[3]6.Odpadové hospodárstvo'!$I$5</f>
        <v>5200</v>
      </c>
      <c r="W72" s="96">
        <f>'[3]6.Odpadové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'[3]6.Odpadové hospodárstvo'!#REF!</f>
        <v>#REF!</v>
      </c>
      <c r="G73" s="95" t="e">
        <f>'[3]6.Odpadové hospodárstvo'!#REF!</f>
        <v>#REF!</v>
      </c>
      <c r="H73" s="93" t="e">
        <f>SUM(I73:K73)</f>
        <v>#REF!</v>
      </c>
      <c r="I73" s="94">
        <v>514242</v>
      </c>
      <c r="J73" s="94" t="e">
        <f>'[3]6.Odpadové hospodárstvo'!#REF!</f>
        <v>#REF!</v>
      </c>
      <c r="K73" s="96" t="e">
        <f>'[3]6.Odpadové hospodárstvo'!#REF!</f>
        <v>#REF!</v>
      </c>
      <c r="L73" s="97" t="e">
        <f>SUM(M73:O73)</f>
        <v>#REF!</v>
      </c>
      <c r="M73" s="94" t="e">
        <f>'[3]6.Odpadové hospodárstvo'!#REF!</f>
        <v>#REF!</v>
      </c>
      <c r="N73" s="94" t="e">
        <f>'[3]6.Odpadové hospodárstvo'!#REF!</f>
        <v>#REF!</v>
      </c>
      <c r="O73" s="96" t="e">
        <f>'[3]6.Odpadové hospodárstvo'!#REF!</f>
        <v>#REF!</v>
      </c>
      <c r="P73" s="255">
        <v>524427.30000000005</v>
      </c>
      <c r="Q73" s="258">
        <v>524427.30000000005</v>
      </c>
      <c r="R73" s="258">
        <v>0</v>
      </c>
      <c r="S73" s="259">
        <v>0</v>
      </c>
      <c r="T73" s="97">
        <f>SUM(U73:W73)</f>
        <v>558000</v>
      </c>
      <c r="U73" s="94">
        <f>'[3]6.Odpadové hospodárstvo'!$H$10</f>
        <v>558000</v>
      </c>
      <c r="V73" s="94">
        <f>'[3]6.Odpadové hospodárstvo'!$I$10</f>
        <v>0</v>
      </c>
      <c r="W73" s="96">
        <f>'[3]6.Odpadové hospodárstvo'!$J$10</f>
        <v>0</v>
      </c>
    </row>
    <row r="74" spans="1:23" ht="15.75" x14ac:dyDescent="0.25">
      <c r="A74" s="84"/>
      <c r="B74" s="230" t="s">
        <v>236</v>
      </c>
      <c r="C74" s="221" t="s">
        <v>237</v>
      </c>
      <c r="D74" s="207" t="e">
        <f t="shared" ref="D74:W74" si="33">SUM(D75:D76)</f>
        <v>#REF!</v>
      </c>
      <c r="E74" s="208">
        <f t="shared" si="33"/>
        <v>107980</v>
      </c>
      <c r="F74" s="208" t="e">
        <f t="shared" si="33"/>
        <v>#REF!</v>
      </c>
      <c r="G74" s="209" t="e">
        <f t="shared" si="33"/>
        <v>#REF!</v>
      </c>
      <c r="H74" s="207" t="e">
        <f t="shared" si="33"/>
        <v>#REF!</v>
      </c>
      <c r="I74" s="208">
        <f t="shared" si="33"/>
        <v>78763</v>
      </c>
      <c r="J74" s="208" t="e">
        <f t="shared" si="33"/>
        <v>#REF!</v>
      </c>
      <c r="K74" s="210" t="e">
        <f t="shared" si="33"/>
        <v>#REF!</v>
      </c>
      <c r="L74" s="211" t="e">
        <f t="shared" si="33"/>
        <v>#REF!</v>
      </c>
      <c r="M74" s="208" t="e">
        <f t="shared" si="33"/>
        <v>#REF!</v>
      </c>
      <c r="N74" s="208" t="e">
        <f t="shared" si="33"/>
        <v>#REF!</v>
      </c>
      <c r="O74" s="210" t="e">
        <f t="shared" si="33"/>
        <v>#REF!</v>
      </c>
      <c r="P74" s="255">
        <v>94003.83</v>
      </c>
      <c r="Q74" s="256">
        <v>94003.83</v>
      </c>
      <c r="R74" s="256">
        <v>0</v>
      </c>
      <c r="S74" s="257">
        <v>0</v>
      </c>
      <c r="T74" s="211">
        <f t="shared" si="33"/>
        <v>100650</v>
      </c>
      <c r="U74" s="208">
        <f t="shared" si="33"/>
        <v>100650</v>
      </c>
      <c r="V74" s="208">
        <f t="shared" si="33"/>
        <v>0</v>
      </c>
      <c r="W74" s="210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'[3]6.Odpadové hospodárstvo'!#REF!</f>
        <v>#REF!</v>
      </c>
      <c r="G75" s="95" t="e">
        <f>'[3]6.Odpadové hospodárstvo'!#REF!</f>
        <v>#REF!</v>
      </c>
      <c r="H75" s="93" t="e">
        <f>SUM(I75:K75)</f>
        <v>#REF!</v>
      </c>
      <c r="I75" s="94">
        <v>68842</v>
      </c>
      <c r="J75" s="94" t="e">
        <f>'[3]6.Odpadové hospodárstvo'!#REF!</f>
        <v>#REF!</v>
      </c>
      <c r="K75" s="96" t="e">
        <f>'[3]6.Odpadové hospodárstvo'!#REF!</f>
        <v>#REF!</v>
      </c>
      <c r="L75" s="97" t="e">
        <f>SUM(M75:O75)</f>
        <v>#REF!</v>
      </c>
      <c r="M75" s="94" t="e">
        <f>'[3]6.Odpadové hospodárstvo'!#REF!</f>
        <v>#REF!</v>
      </c>
      <c r="N75" s="94" t="e">
        <f>'[3]6.Odpadové hospodárstvo'!#REF!</f>
        <v>#REF!</v>
      </c>
      <c r="O75" s="96" t="e">
        <f>'[3]6.Odpadové hospodárstvo'!#REF!</f>
        <v>#REF!</v>
      </c>
      <c r="P75" s="255">
        <v>82086.899999999994</v>
      </c>
      <c r="Q75" s="258">
        <v>82086.899999999994</v>
      </c>
      <c r="R75" s="258">
        <v>0</v>
      </c>
      <c r="S75" s="259">
        <v>0</v>
      </c>
      <c r="T75" s="97">
        <f>SUM(U75:W75)</f>
        <v>86950</v>
      </c>
      <c r="U75" s="94">
        <f>'[3]6.Odpadové hospodárstvo'!$H$15</f>
        <v>86950</v>
      </c>
      <c r="V75" s="94">
        <f>'[3]6.Odpadové hospodárstvo'!$I$15</f>
        <v>0</v>
      </c>
      <c r="W75" s="96">
        <f>'[3]6.Odpadové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'[3]6.Odpadové hospodárstvo'!#REF!</f>
        <v>#REF!</v>
      </c>
      <c r="G76" s="95" t="e">
        <f>'[3]6.Odpadové hospodárstvo'!#REF!</f>
        <v>#REF!</v>
      </c>
      <c r="H76" s="93" t="e">
        <f>SUM(I76:K76)</f>
        <v>#REF!</v>
      </c>
      <c r="I76" s="94">
        <v>9921</v>
      </c>
      <c r="J76" s="94" t="e">
        <f>'[3]6.Odpadové hospodárstvo'!#REF!</f>
        <v>#REF!</v>
      </c>
      <c r="K76" s="96" t="e">
        <f>'[3]6.Odpadové hospodárstvo'!#REF!</f>
        <v>#REF!</v>
      </c>
      <c r="L76" s="97" t="e">
        <f>SUM(M76:O76)</f>
        <v>#REF!</v>
      </c>
      <c r="M76" s="94" t="e">
        <f>'[3]6.Odpadové hospodárstvo'!#REF!</f>
        <v>#REF!</v>
      </c>
      <c r="N76" s="98" t="e">
        <f>'[3]6.Odpadové hospodárstvo'!#REF!</f>
        <v>#REF!</v>
      </c>
      <c r="O76" s="96" t="e">
        <f>'[3]6.Odpadové hospodárstvo'!#REF!</f>
        <v>#REF!</v>
      </c>
      <c r="P76" s="255">
        <v>11916.93</v>
      </c>
      <c r="Q76" s="258">
        <v>11916.93</v>
      </c>
      <c r="R76" s="258">
        <v>0</v>
      </c>
      <c r="S76" s="259">
        <v>0</v>
      </c>
      <c r="T76" s="97">
        <f>SUM(U76:W76)</f>
        <v>13700</v>
      </c>
      <c r="U76" s="94">
        <f>'[3]6.Odpadové hospodárstvo'!$H$18</f>
        <v>13700</v>
      </c>
      <c r="V76" s="98">
        <f>'[3]6.Odpadové hospodárstvo'!$I$18</f>
        <v>0</v>
      </c>
      <c r="W76" s="96">
        <f>'[3]6.Odpadové hospodárstvo'!$J$18</f>
        <v>0</v>
      </c>
    </row>
    <row r="77" spans="1:23" ht="16.5" thickBot="1" x14ac:dyDescent="0.3">
      <c r="A77" s="84"/>
      <c r="B77" s="233" t="s">
        <v>240</v>
      </c>
      <c r="C77" s="234" t="s">
        <v>241</v>
      </c>
      <c r="D77" s="215" t="e">
        <f>SUM(E77:G77)</f>
        <v>#REF!</v>
      </c>
      <c r="E77" s="216">
        <v>75809</v>
      </c>
      <c r="F77" s="216">
        <v>52058</v>
      </c>
      <c r="G77" s="217" t="e">
        <f>'[3]6.Odpadové hospodárstvo'!#REF!</f>
        <v>#REF!</v>
      </c>
      <c r="H77" s="223" t="e">
        <f>SUM(I77:K77)</f>
        <v>#REF!</v>
      </c>
      <c r="I77" s="218">
        <v>73327</v>
      </c>
      <c r="J77" s="218" t="e">
        <f>'[3]6.Odpadové hospodárstvo'!#REF!</f>
        <v>#REF!</v>
      </c>
      <c r="K77" s="219" t="e">
        <f>'[3]6.Odpadové hospodárstvo'!#REF!</f>
        <v>#REF!</v>
      </c>
      <c r="L77" s="224" t="e">
        <f>SUM(M77:O77)</f>
        <v>#REF!</v>
      </c>
      <c r="M77" s="216" t="e">
        <f>'[3]6.Odpadové hospodárstvo'!#REF!</f>
        <v>#REF!</v>
      </c>
      <c r="N77" s="216" t="e">
        <f>'[3]6.Odpadové hospodárstvo'!#REF!</f>
        <v>#REF!</v>
      </c>
      <c r="O77" s="225" t="e">
        <f>'[3]6.Odpadové hospodárstvo'!#REF!</f>
        <v>#REF!</v>
      </c>
      <c r="P77" s="265">
        <v>79416.929999999993</v>
      </c>
      <c r="Q77" s="266">
        <v>79416.929999999993</v>
      </c>
      <c r="R77" s="266">
        <v>0</v>
      </c>
      <c r="S77" s="267">
        <v>0</v>
      </c>
      <c r="T77" s="224">
        <f>SUM(U77:W77)</f>
        <v>84350</v>
      </c>
      <c r="U77" s="216">
        <f>'[3]6.Odpadové hospodárstvo'!$H$20</f>
        <v>84350</v>
      </c>
      <c r="V77" s="216">
        <f>'[3]6.Odpadové hospodárstvo'!$I$20</f>
        <v>0</v>
      </c>
      <c r="W77" s="225">
        <f>'[3]6.Odpadové hospodárstvo'!$J$20</f>
        <v>0</v>
      </c>
    </row>
    <row r="78" spans="1:23" s="82" customFormat="1" ht="14.25" x14ac:dyDescent="0.2">
      <c r="B78" s="189" t="s">
        <v>242</v>
      </c>
      <c r="C78" s="190"/>
      <c r="D78" s="184" t="e">
        <f t="shared" ref="D78:W78" si="34">D79+D87+D90</f>
        <v>#REF!</v>
      </c>
      <c r="E78" s="185" t="e">
        <f t="shared" si="34"/>
        <v>#REF!</v>
      </c>
      <c r="F78" s="185" t="e">
        <f t="shared" si="34"/>
        <v>#REF!</v>
      </c>
      <c r="G78" s="186" t="e">
        <f t="shared" si="34"/>
        <v>#REF!</v>
      </c>
      <c r="H78" s="184" t="e">
        <f t="shared" si="34"/>
        <v>#REF!</v>
      </c>
      <c r="I78" s="185" t="e">
        <f t="shared" si="34"/>
        <v>#REF!</v>
      </c>
      <c r="J78" s="185" t="e">
        <f t="shared" si="34"/>
        <v>#REF!</v>
      </c>
      <c r="K78" s="187" t="e">
        <f t="shared" si="34"/>
        <v>#REF!</v>
      </c>
      <c r="L78" s="188" t="e">
        <f t="shared" si="34"/>
        <v>#REF!</v>
      </c>
      <c r="M78" s="185" t="e">
        <f t="shared" si="34"/>
        <v>#REF!</v>
      </c>
      <c r="N78" s="185" t="e">
        <f t="shared" si="34"/>
        <v>#REF!</v>
      </c>
      <c r="O78" s="187" t="e">
        <f t="shared" si="34"/>
        <v>#REF!</v>
      </c>
      <c r="P78" s="263">
        <v>948075.11</v>
      </c>
      <c r="Q78" s="264">
        <v>274180.21999999997</v>
      </c>
      <c r="R78" s="264">
        <v>368710.89</v>
      </c>
      <c r="S78" s="268">
        <v>305184</v>
      </c>
      <c r="T78" s="188">
        <f t="shared" si="34"/>
        <v>899603</v>
      </c>
      <c r="U78" s="185">
        <f t="shared" si="34"/>
        <v>377705</v>
      </c>
      <c r="V78" s="185">
        <f t="shared" si="34"/>
        <v>128850</v>
      </c>
      <c r="W78" s="187">
        <f t="shared" si="34"/>
        <v>393048</v>
      </c>
    </row>
    <row r="79" spans="1:23" ht="15.75" x14ac:dyDescent="0.25">
      <c r="A79" s="84"/>
      <c r="B79" s="230" t="s">
        <v>243</v>
      </c>
      <c r="C79" s="221" t="s">
        <v>244</v>
      </c>
      <c r="D79" s="207" t="e">
        <f t="shared" ref="D79:W79" si="35">SUM(D80:D86)</f>
        <v>#REF!</v>
      </c>
      <c r="E79" s="208" t="e">
        <f t="shared" si="35"/>
        <v>#REF!</v>
      </c>
      <c r="F79" s="208" t="e">
        <f t="shared" si="35"/>
        <v>#REF!</v>
      </c>
      <c r="G79" s="209" t="e">
        <f t="shared" si="35"/>
        <v>#REF!</v>
      </c>
      <c r="H79" s="207">
        <f t="shared" si="35"/>
        <v>716581.5</v>
      </c>
      <c r="I79" s="208">
        <f t="shared" si="35"/>
        <v>248438.5</v>
      </c>
      <c r="J79" s="208">
        <f t="shared" si="35"/>
        <v>162959</v>
      </c>
      <c r="K79" s="210">
        <f t="shared" si="35"/>
        <v>305184</v>
      </c>
      <c r="L79" s="211" t="e">
        <f t="shared" si="35"/>
        <v>#REF!</v>
      </c>
      <c r="M79" s="208" t="e">
        <f t="shared" si="35"/>
        <v>#REF!</v>
      </c>
      <c r="N79" s="208" t="e">
        <f t="shared" si="35"/>
        <v>#REF!</v>
      </c>
      <c r="O79" s="210" t="e">
        <f t="shared" si="35"/>
        <v>#REF!</v>
      </c>
      <c r="P79" s="255">
        <v>948075.11</v>
      </c>
      <c r="Q79" s="256">
        <v>274180.21999999997</v>
      </c>
      <c r="R79" s="256">
        <v>368710.89</v>
      </c>
      <c r="S79" s="257">
        <v>305184</v>
      </c>
      <c r="T79" s="211">
        <f t="shared" si="35"/>
        <v>770603</v>
      </c>
      <c r="U79" s="208">
        <f t="shared" si="35"/>
        <v>368705</v>
      </c>
      <c r="V79" s="208">
        <f t="shared" si="35"/>
        <v>8850</v>
      </c>
      <c r="W79" s="210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'[3]7.Komunikácie'!#REF!</f>
        <v>#REF!</v>
      </c>
      <c r="F80" s="94" t="e">
        <f>'[3]7.Komunikácie'!#REF!</f>
        <v>#REF!</v>
      </c>
      <c r="G80" s="95" t="e">
        <f>'[3]7.Komunikácie'!#REF!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'[3]7.Komunikácie'!#REF!</f>
        <v>#REF!</v>
      </c>
      <c r="N80" s="94" t="e">
        <f>'[3]7.Komunikácie'!#REF!</f>
        <v>#REF!</v>
      </c>
      <c r="O80" s="96" t="e">
        <f>'[3]7.Komunikácie'!#REF!</f>
        <v>#REF!</v>
      </c>
      <c r="P80" s="255">
        <v>0</v>
      </c>
      <c r="Q80" s="258">
        <v>0</v>
      </c>
      <c r="R80" s="258">
        <v>0</v>
      </c>
      <c r="S80" s="259">
        <v>0</v>
      </c>
      <c r="T80" s="97">
        <f t="shared" ref="T80:T86" si="39">SUM(U80:W80)</f>
        <v>0</v>
      </c>
      <c r="U80" s="94">
        <f>'[3]7.Komunikácie'!$H$5</f>
        <v>0</v>
      </c>
      <c r="V80" s="94">
        <f>'[3]7.Komunikácie'!$I$5</f>
        <v>0</v>
      </c>
      <c r="W80" s="96">
        <f>'[3]7.Komunikácie'!$J$5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'[3]7.Komunikácie'!#REF!</f>
        <v>#REF!</v>
      </c>
      <c r="N81" s="94" t="e">
        <f>'[3]7.Komunikácie'!#REF!</f>
        <v>#REF!</v>
      </c>
      <c r="O81" s="96" t="e">
        <f>'[3]7.Komunikácie'!#REF!</f>
        <v>#REF!</v>
      </c>
      <c r="P81" s="255">
        <v>785677.72</v>
      </c>
      <c r="Q81" s="258">
        <v>111782.83</v>
      </c>
      <c r="R81" s="258">
        <v>368710.89</v>
      </c>
      <c r="S81" s="259">
        <v>305184</v>
      </c>
      <c r="T81" s="97">
        <f t="shared" si="39"/>
        <v>493103</v>
      </c>
      <c r="U81" s="94">
        <f>'[3]7.Komunikácie'!$H$7</f>
        <v>91205</v>
      </c>
      <c r="V81" s="94">
        <f>'[3]7.Komunikácie'!$I$7</f>
        <v>8850</v>
      </c>
      <c r="W81" s="96">
        <f>'[3]7.Komunikácie'!$J$7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'[3]7.Komunikácie'!#REF!</f>
        <v>#REF!</v>
      </c>
      <c r="G82" s="95" t="e">
        <f>'[3]7.Komunikácie'!#REF!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'[3]7.Komunikácie'!#REF!</f>
        <v>#REF!</v>
      </c>
      <c r="N82" s="94" t="e">
        <f>'[3]7.Komunikácie'!#REF!</f>
        <v>#REF!</v>
      </c>
      <c r="O82" s="96" t="e">
        <f>'[3]7.Komunikácie'!#REF!</f>
        <v>#REF!</v>
      </c>
      <c r="P82" s="255">
        <v>39318.660000000003</v>
      </c>
      <c r="Q82" s="258">
        <v>39318.660000000003</v>
      </c>
      <c r="R82" s="258">
        <v>0</v>
      </c>
      <c r="S82" s="259">
        <v>0</v>
      </c>
      <c r="T82" s="97">
        <f t="shared" si="39"/>
        <v>79000</v>
      </c>
      <c r="U82" s="94">
        <f>'[3]7.Komunikácie'!$H$21</f>
        <v>79000</v>
      </c>
      <c r="V82" s="94">
        <f>'[3]7.Komunikácie'!$I$21</f>
        <v>0</v>
      </c>
      <c r="W82" s="96">
        <f>'[3]7.Komunikácie'!$J$21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'[3]7.Komunikácie'!#REF!</f>
        <v>#REF!</v>
      </c>
      <c r="G83" s="95" t="e">
        <f>'[3]7.Komunikácie'!#REF!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'[3]7.Komunikácie'!#REF!</f>
        <v>#REF!</v>
      </c>
      <c r="N83" s="94" t="e">
        <f>'[3]7.Komunikácie'!#REF!</f>
        <v>#REF!</v>
      </c>
      <c r="O83" s="96" t="e">
        <f>'[3]7.Komunikácie'!#REF!</f>
        <v>#REF!</v>
      </c>
      <c r="P83" s="255">
        <v>22614.04</v>
      </c>
      <c r="Q83" s="258">
        <v>22614.04</v>
      </c>
      <c r="R83" s="258">
        <v>0</v>
      </c>
      <c r="S83" s="259">
        <v>0</v>
      </c>
      <c r="T83" s="97">
        <f t="shared" si="39"/>
        <v>82000</v>
      </c>
      <c r="U83" s="94">
        <f>'[3]7.Komunikácie'!$H$24</f>
        <v>82000</v>
      </c>
      <c r="V83" s="94">
        <f>'[3]7.Komunikácie'!$I$24</f>
        <v>0</v>
      </c>
      <c r="W83" s="96">
        <f>'[3]7.Komunikácie'!$J$24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'[3]7.Komunikácie'!#REF!</f>
        <v>#REF!</v>
      </c>
      <c r="G84" s="95" t="e">
        <f>'[3]7.Komunikácie'!#REF!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'[3]7.Komunikácie'!#REF!</f>
        <v>#REF!</v>
      </c>
      <c r="N84" s="94" t="e">
        <f>'[3]7.Komunikácie'!#REF!</f>
        <v>#REF!</v>
      </c>
      <c r="O84" s="96" t="e">
        <f>'[3]7.Komunikácie'!#REF!</f>
        <v>#REF!</v>
      </c>
      <c r="P84" s="255">
        <v>83569.850000000006</v>
      </c>
      <c r="Q84" s="258">
        <v>83569.850000000006</v>
      </c>
      <c r="R84" s="258">
        <v>0</v>
      </c>
      <c r="S84" s="259">
        <v>0</v>
      </c>
      <c r="T84" s="97">
        <f t="shared" si="39"/>
        <v>96150</v>
      </c>
      <c r="U84" s="94">
        <f>'[3]7.Komunikácie'!$H$27</f>
        <v>96150</v>
      </c>
      <c r="V84" s="94">
        <f>'[3]7.Komunikácie'!$I$27</f>
        <v>0</v>
      </c>
      <c r="W84" s="96">
        <f>'[3]7.Komunikácie'!$J$27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'[3]7.Komunikácie'!#REF!</f>
        <v>#REF!</v>
      </c>
      <c r="G85" s="95" t="e">
        <f>'[3]7.Komunikácie'!#REF!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'[3]7.Komunikácie'!#REF!</f>
        <v>#REF!</v>
      </c>
      <c r="O85" s="96" t="e">
        <f>'[3]7.Komunikácie'!#REF!</f>
        <v>#REF!</v>
      </c>
      <c r="P85" s="255">
        <v>6134.4</v>
      </c>
      <c r="Q85" s="258">
        <v>6134.4</v>
      </c>
      <c r="R85" s="258">
        <v>0</v>
      </c>
      <c r="S85" s="259">
        <v>0</v>
      </c>
      <c r="T85" s="97">
        <f t="shared" si="39"/>
        <v>10350</v>
      </c>
      <c r="U85" s="94">
        <f>'[3]7.Komunikácie'!$H$31</f>
        <v>10350</v>
      </c>
      <c r="V85" s="94">
        <f>'[3]7.Komunikácie'!$I$31</f>
        <v>0</v>
      </c>
      <c r="W85" s="96">
        <f>'[3]7.Komunikácie'!$J$31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'[3]7.Komunikácie'!#REF!</f>
        <v>#REF!</v>
      </c>
      <c r="G86" s="95" t="e">
        <f>'[3]7.Komunikácie'!#REF!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'[3]7.Komunikácie'!#REF!</f>
        <v>#REF!</v>
      </c>
      <c r="O86" s="96" t="e">
        <f>'[3]7.Komunikácie'!#REF!</f>
        <v>#REF!</v>
      </c>
      <c r="P86" s="255">
        <v>10760.44</v>
      </c>
      <c r="Q86" s="258">
        <v>10760.44</v>
      </c>
      <c r="R86" s="258">
        <v>0</v>
      </c>
      <c r="S86" s="259">
        <v>0</v>
      </c>
      <c r="T86" s="97">
        <f t="shared" si="39"/>
        <v>10000</v>
      </c>
      <c r="U86" s="94">
        <f>'[3]7.Komunikácie'!$H$35</f>
        <v>10000</v>
      </c>
      <c r="V86" s="94">
        <f>'[3]7.Komunikácie'!$I$35</f>
        <v>0</v>
      </c>
      <c r="W86" s="96">
        <f>'[3]7.Komunikácie'!$J$35</f>
        <v>0</v>
      </c>
    </row>
    <row r="87" spans="1:23" ht="15.75" x14ac:dyDescent="0.25">
      <c r="A87" s="84"/>
      <c r="B87" s="230" t="s">
        <v>252</v>
      </c>
      <c r="C87" s="221" t="s">
        <v>253</v>
      </c>
      <c r="D87" s="207" t="e">
        <f t="shared" ref="D87:W87" si="40">SUM(D88:D89)</f>
        <v>#REF!</v>
      </c>
      <c r="E87" s="208" t="e">
        <f t="shared" si="40"/>
        <v>#REF!</v>
      </c>
      <c r="F87" s="208" t="e">
        <f t="shared" si="40"/>
        <v>#REF!</v>
      </c>
      <c r="G87" s="209" t="e">
        <f t="shared" si="40"/>
        <v>#REF!</v>
      </c>
      <c r="H87" s="207" t="e">
        <f t="shared" si="40"/>
        <v>#REF!</v>
      </c>
      <c r="I87" s="208" t="e">
        <f t="shared" si="40"/>
        <v>#REF!</v>
      </c>
      <c r="J87" s="208" t="e">
        <f t="shared" si="40"/>
        <v>#REF!</v>
      </c>
      <c r="K87" s="210" t="e">
        <f t="shared" si="40"/>
        <v>#REF!</v>
      </c>
      <c r="L87" s="211" t="e">
        <f t="shared" si="40"/>
        <v>#REF!</v>
      </c>
      <c r="M87" s="208" t="e">
        <f t="shared" si="40"/>
        <v>#REF!</v>
      </c>
      <c r="N87" s="208" t="e">
        <f t="shared" si="40"/>
        <v>#REF!</v>
      </c>
      <c r="O87" s="210" t="e">
        <f t="shared" si="40"/>
        <v>#REF!</v>
      </c>
      <c r="P87" s="255">
        <v>0</v>
      </c>
      <c r="Q87" s="256">
        <v>0</v>
      </c>
      <c r="R87" s="256">
        <v>0</v>
      </c>
      <c r="S87" s="257">
        <v>0</v>
      </c>
      <c r="T87" s="211">
        <f t="shared" si="40"/>
        <v>129000</v>
      </c>
      <c r="U87" s="208">
        <f t="shared" si="40"/>
        <v>9000</v>
      </c>
      <c r="V87" s="208">
        <f t="shared" si="40"/>
        <v>120000</v>
      </c>
      <c r="W87" s="210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'[3]7.Komunikácie'!#REF!</f>
        <v>#REF!</v>
      </c>
      <c r="F88" s="94">
        <v>68101</v>
      </c>
      <c r="G88" s="95" t="e">
        <f>'[3]7.Komunikácie'!#REF!</f>
        <v>#REF!</v>
      </c>
      <c r="H88" s="93" t="e">
        <f>SUM(I88:K88)</f>
        <v>#REF!</v>
      </c>
      <c r="I88" s="94" t="e">
        <f>'[3]7.Komunikácie'!#REF!</f>
        <v>#REF!</v>
      </c>
      <c r="J88" s="94" t="e">
        <f>'[3]7.Komunikácie'!#REF!</f>
        <v>#REF!</v>
      </c>
      <c r="K88" s="96" t="e">
        <f>'[3]7.Komunikácie'!#REF!</f>
        <v>#REF!</v>
      </c>
      <c r="L88" s="97" t="e">
        <f>SUM(M88:O88)</f>
        <v>#REF!</v>
      </c>
      <c r="M88" s="94" t="e">
        <f>'[3]7.Komunikácie'!#REF!</f>
        <v>#REF!</v>
      </c>
      <c r="N88" s="94" t="e">
        <f>'[3]7.Komunikácie'!#REF!</f>
        <v>#REF!</v>
      </c>
      <c r="O88" s="96" t="e">
        <f>'[3]7.Komunikácie'!#REF!</f>
        <v>#REF!</v>
      </c>
      <c r="P88" s="255">
        <v>0</v>
      </c>
      <c r="Q88" s="275">
        <v>0</v>
      </c>
      <c r="R88" s="275">
        <v>0</v>
      </c>
      <c r="S88" s="276">
        <v>0</v>
      </c>
      <c r="T88" s="97">
        <f>SUM(U88:W88)</f>
        <v>120000</v>
      </c>
      <c r="U88" s="94">
        <f>'[3]7.Komunikácie'!$H$39</f>
        <v>0</v>
      </c>
      <c r="V88" s="94">
        <f>'[3]7.Komunikácie'!$I$39</f>
        <v>120000</v>
      </c>
      <c r="W88" s="96">
        <f>'[3]7.Komunikácie'!$J$39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'[3]7.Komunikácie'!#REF!</f>
        <v>#REF!</v>
      </c>
      <c r="G89" s="95" t="e">
        <f>'[3]7.Komunikácie'!#REF!</f>
        <v>#REF!</v>
      </c>
      <c r="H89" s="93" t="e">
        <f>SUM(I89:K89)</f>
        <v>#REF!</v>
      </c>
      <c r="I89" s="94" t="e">
        <f>'[3]7.Komunikácie'!#REF!</f>
        <v>#REF!</v>
      </c>
      <c r="J89" s="94" t="e">
        <f>'[3]7.Komunikácie'!#REF!</f>
        <v>#REF!</v>
      </c>
      <c r="K89" s="96" t="e">
        <f>'[3]7.Komunikácie'!#REF!</f>
        <v>#REF!</v>
      </c>
      <c r="L89" s="97" t="e">
        <f>SUM(M89:O89)</f>
        <v>#REF!</v>
      </c>
      <c r="M89" s="94">
        <v>8150</v>
      </c>
      <c r="N89" s="94" t="e">
        <f>'[3]7.Komunikácie'!#REF!</f>
        <v>#REF!</v>
      </c>
      <c r="O89" s="96" t="e">
        <f>'[3]7.Komunikácie'!#REF!</f>
        <v>#REF!</v>
      </c>
      <c r="P89" s="255">
        <v>0</v>
      </c>
      <c r="Q89" s="275">
        <v>0</v>
      </c>
      <c r="R89" s="275">
        <v>0</v>
      </c>
      <c r="S89" s="276">
        <v>0</v>
      </c>
      <c r="T89" s="97">
        <f>SUM(U89:W89)</f>
        <v>9000</v>
      </c>
      <c r="U89" s="94">
        <f>'[3]7.Komunikácie'!$H$41</f>
        <v>9000</v>
      </c>
      <c r="V89" s="94">
        <f>'[3]7.Komunikácie'!$I$41</f>
        <v>0</v>
      </c>
      <c r="W89" s="96">
        <f>'[3]7.Komunikácie'!$J$41</f>
        <v>0</v>
      </c>
    </row>
    <row r="90" spans="1:23" ht="15.75" x14ac:dyDescent="0.25">
      <c r="A90" s="84"/>
      <c r="B90" s="230" t="s">
        <v>256</v>
      </c>
      <c r="C90" s="221" t="s">
        <v>257</v>
      </c>
      <c r="D90" s="207" t="e">
        <f t="shared" ref="D90:W90" si="41">SUM(D91:D92)</f>
        <v>#REF!</v>
      </c>
      <c r="E90" s="208" t="e">
        <f t="shared" si="41"/>
        <v>#REF!</v>
      </c>
      <c r="F90" s="208" t="e">
        <f t="shared" si="41"/>
        <v>#REF!</v>
      </c>
      <c r="G90" s="209" t="e">
        <f t="shared" si="41"/>
        <v>#REF!</v>
      </c>
      <c r="H90" s="207" t="e">
        <f t="shared" si="41"/>
        <v>#REF!</v>
      </c>
      <c r="I90" s="208" t="e">
        <f t="shared" si="41"/>
        <v>#REF!</v>
      </c>
      <c r="J90" s="208" t="e">
        <f t="shared" si="41"/>
        <v>#REF!</v>
      </c>
      <c r="K90" s="210" t="e">
        <f t="shared" si="41"/>
        <v>#REF!</v>
      </c>
      <c r="L90" s="211" t="e">
        <f t="shared" si="41"/>
        <v>#REF!</v>
      </c>
      <c r="M90" s="208" t="e">
        <f t="shared" si="41"/>
        <v>#REF!</v>
      </c>
      <c r="N90" s="208" t="e">
        <f t="shared" si="41"/>
        <v>#REF!</v>
      </c>
      <c r="O90" s="210" t="e">
        <f t="shared" si="41"/>
        <v>#REF!</v>
      </c>
      <c r="P90" s="255">
        <v>0</v>
      </c>
      <c r="Q90" s="256">
        <v>0</v>
      </c>
      <c r="R90" s="256">
        <v>0</v>
      </c>
      <c r="S90" s="257">
        <v>0</v>
      </c>
      <c r="T90" s="211">
        <f t="shared" si="41"/>
        <v>0</v>
      </c>
      <c r="U90" s="208">
        <f t="shared" si="41"/>
        <v>0</v>
      </c>
      <c r="V90" s="208">
        <f t="shared" si="41"/>
        <v>0</v>
      </c>
      <c r="W90" s="210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'[3]7.Komunikácie'!#REF!</f>
        <v>#REF!</v>
      </c>
      <c r="F91" s="94" t="e">
        <f>'[3]7.Komunikácie'!#REF!</f>
        <v>#REF!</v>
      </c>
      <c r="G91" s="95" t="e">
        <f>'[3]7.Komunikácie'!#REF!</f>
        <v>#REF!</v>
      </c>
      <c r="H91" s="93" t="e">
        <f>SUM(I91:K91)</f>
        <v>#REF!</v>
      </c>
      <c r="I91" s="94" t="e">
        <f>'[3]7.Komunikácie'!#REF!</f>
        <v>#REF!</v>
      </c>
      <c r="J91" s="94" t="e">
        <f>'[3]7.Komunikácie'!#REF!</f>
        <v>#REF!</v>
      </c>
      <c r="K91" s="96" t="e">
        <f>'[3]7.Komunikácie'!#REF!</f>
        <v>#REF!</v>
      </c>
      <c r="L91" s="97" t="e">
        <f>SUM(M91:O91)</f>
        <v>#REF!</v>
      </c>
      <c r="M91" s="94" t="e">
        <f>'[3]7.Komunikácie'!#REF!</f>
        <v>#REF!</v>
      </c>
      <c r="N91" s="94" t="e">
        <f>'[3]7.Komunikácie'!#REF!</f>
        <v>#REF!</v>
      </c>
      <c r="O91" s="96" t="e">
        <f>'[3]7.Komunikácie'!#REF!</f>
        <v>#REF!</v>
      </c>
      <c r="P91" s="255">
        <v>0</v>
      </c>
      <c r="Q91" s="258">
        <v>0</v>
      </c>
      <c r="R91" s="258">
        <v>0</v>
      </c>
      <c r="S91" s="259">
        <v>0</v>
      </c>
      <c r="T91" s="97">
        <f>SUM(U91:W91)</f>
        <v>0</v>
      </c>
      <c r="U91" s="94">
        <f>'[3]7.Komunikácie'!$H$44</f>
        <v>0</v>
      </c>
      <c r="V91" s="94">
        <f>'[3]7.Komunikácie'!$I$44</f>
        <v>0</v>
      </c>
      <c r="W91" s="96">
        <f>'[3]7.Komunikácie'!$J$44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'[3]7.Komunikácie'!#REF!</f>
        <v>#REF!</v>
      </c>
      <c r="G92" s="104" t="e">
        <f>'[3]7.Komunikácie'!#REF!</f>
        <v>#REF!</v>
      </c>
      <c r="H92" s="111" t="e">
        <f>SUM(I92:K92)</f>
        <v>#REF!</v>
      </c>
      <c r="I92" s="105" t="e">
        <f>'[3]7.Komunikácie'!#REF!</f>
        <v>#REF!</v>
      </c>
      <c r="J92" s="105" t="e">
        <f>'[3]7.Komunikácie'!#REF!</f>
        <v>#REF!</v>
      </c>
      <c r="K92" s="106" t="e">
        <f>'[3]7.Komunikácie'!#REF!</f>
        <v>#REF!</v>
      </c>
      <c r="L92" s="112" t="e">
        <f>SUM(M92:O92)</f>
        <v>#REF!</v>
      </c>
      <c r="M92" s="103" t="e">
        <f>'[3]7.Komunikácie'!#REF!</f>
        <v>#REF!</v>
      </c>
      <c r="N92" s="103" t="e">
        <f>'[3]7.Komunikácie'!#REF!</f>
        <v>#REF!</v>
      </c>
      <c r="O92" s="113" t="e">
        <f>'[3]7.Komunikácie'!#REF!</f>
        <v>#REF!</v>
      </c>
      <c r="P92" s="265">
        <v>0</v>
      </c>
      <c r="Q92" s="273">
        <v>0</v>
      </c>
      <c r="R92" s="273">
        <v>0</v>
      </c>
      <c r="S92" s="274">
        <v>0</v>
      </c>
      <c r="T92" s="112">
        <f>SUM(U92:W92)</f>
        <v>0</v>
      </c>
      <c r="U92" s="103">
        <f>'[3]7.Komunikácie'!$H$47</f>
        <v>0</v>
      </c>
      <c r="V92" s="103">
        <f>'[3]7.Komunikácie'!$I$47</f>
        <v>0</v>
      </c>
      <c r="W92" s="113">
        <f>'[3]7.Komunikácie'!$J$47</f>
        <v>0</v>
      </c>
    </row>
    <row r="93" spans="1:23" s="82" customFormat="1" ht="14.25" x14ac:dyDescent="0.2">
      <c r="B93" s="189" t="s">
        <v>260</v>
      </c>
      <c r="C93" s="190"/>
      <c r="D93" s="184" t="e">
        <f t="shared" ref="D93:W93" si="42">D94+D95</f>
        <v>#REF!</v>
      </c>
      <c r="E93" s="185">
        <f t="shared" si="42"/>
        <v>47735</v>
      </c>
      <c r="F93" s="185" t="e">
        <f t="shared" si="42"/>
        <v>#REF!</v>
      </c>
      <c r="G93" s="186" t="e">
        <f t="shared" si="42"/>
        <v>#REF!</v>
      </c>
      <c r="H93" s="184">
        <f t="shared" si="42"/>
        <v>69510</v>
      </c>
      <c r="I93" s="185">
        <f t="shared" si="42"/>
        <v>69510</v>
      </c>
      <c r="J93" s="185">
        <f t="shared" si="42"/>
        <v>0</v>
      </c>
      <c r="K93" s="187">
        <f t="shared" si="42"/>
        <v>0</v>
      </c>
      <c r="L93" s="188" t="e">
        <f t="shared" si="42"/>
        <v>#REF!</v>
      </c>
      <c r="M93" s="185" t="e">
        <f t="shared" si="42"/>
        <v>#REF!</v>
      </c>
      <c r="N93" s="185" t="e">
        <f t="shared" si="42"/>
        <v>#REF!</v>
      </c>
      <c r="O93" s="187" t="e">
        <f t="shared" si="42"/>
        <v>#REF!</v>
      </c>
      <c r="P93" s="263">
        <v>65435.19</v>
      </c>
      <c r="Q93" s="264">
        <v>65435.19</v>
      </c>
      <c r="R93" s="264">
        <v>0</v>
      </c>
      <c r="S93" s="268">
        <v>0</v>
      </c>
      <c r="T93" s="188">
        <f t="shared" si="42"/>
        <v>73850</v>
      </c>
      <c r="U93" s="185">
        <f t="shared" si="42"/>
        <v>73850</v>
      </c>
      <c r="V93" s="185">
        <f t="shared" si="42"/>
        <v>0</v>
      </c>
      <c r="W93" s="187">
        <f t="shared" si="42"/>
        <v>0</v>
      </c>
    </row>
    <row r="94" spans="1:23" ht="16.5" x14ac:dyDescent="0.3">
      <c r="A94" s="84"/>
      <c r="B94" s="230" t="s">
        <v>261</v>
      </c>
      <c r="C94" s="226" t="s">
        <v>262</v>
      </c>
      <c r="D94" s="207" t="e">
        <f>SUM(E94:G94)</f>
        <v>#REF!</v>
      </c>
      <c r="E94" s="208">
        <v>47475</v>
      </c>
      <c r="F94" s="235" t="e">
        <f>'[3]8.Doprava'!#REF!</f>
        <v>#REF!</v>
      </c>
      <c r="G94" s="209" t="e">
        <f>'[3]8.Doprava'!#REF!</f>
        <v>#REF!</v>
      </c>
      <c r="H94" s="207">
        <f>SUM(I94:K94)</f>
        <v>69510</v>
      </c>
      <c r="I94" s="208">
        <v>69510</v>
      </c>
      <c r="J94" s="208">
        <v>0</v>
      </c>
      <c r="K94" s="210">
        <v>0</v>
      </c>
      <c r="L94" s="211" t="e">
        <f>SUM(M94:O94)</f>
        <v>#REF!</v>
      </c>
      <c r="M94" s="208" t="e">
        <f>'[3]8.Doprava'!#REF!</f>
        <v>#REF!</v>
      </c>
      <c r="N94" s="235" t="e">
        <f>'[3]8.Doprava'!#REF!</f>
        <v>#REF!</v>
      </c>
      <c r="O94" s="210" t="e">
        <f>'[3]8.Doprava'!#REF!</f>
        <v>#REF!</v>
      </c>
      <c r="P94" s="255">
        <v>65435.19</v>
      </c>
      <c r="Q94" s="256">
        <v>65435.19</v>
      </c>
      <c r="R94" s="256">
        <v>0</v>
      </c>
      <c r="S94" s="257">
        <v>0</v>
      </c>
      <c r="T94" s="211">
        <f>SUM(U94:W94)</f>
        <v>71000</v>
      </c>
      <c r="U94" s="208">
        <f>'[3]8.Doprava'!$H$4</f>
        <v>71000</v>
      </c>
      <c r="V94" s="235">
        <f>'[3]8.Doprava'!$I$4</f>
        <v>0</v>
      </c>
      <c r="W94" s="210">
        <f>'[3]8.Doprava'!$J$4</f>
        <v>0</v>
      </c>
    </row>
    <row r="95" spans="1:23" ht="15.75" x14ac:dyDescent="0.25">
      <c r="A95" s="84"/>
      <c r="B95" s="230" t="s">
        <v>263</v>
      </c>
      <c r="C95" s="221" t="s">
        <v>264</v>
      </c>
      <c r="D95" s="207" t="e">
        <f>SUM(D96:D96)</f>
        <v>#REF!</v>
      </c>
      <c r="E95" s="208">
        <f>SUM(E96:E96)</f>
        <v>260</v>
      </c>
      <c r="F95" s="208" t="e">
        <f>SUM(F96:F96)</f>
        <v>#REF!</v>
      </c>
      <c r="G95" s="209" t="e">
        <f>SUM(G96:G96)</f>
        <v>#REF!</v>
      </c>
      <c r="H95" s="207">
        <f t="shared" ref="H95:W95" si="43">SUM(H96)</f>
        <v>0</v>
      </c>
      <c r="I95" s="208">
        <f t="shared" si="43"/>
        <v>0</v>
      </c>
      <c r="J95" s="208">
        <f t="shared" si="43"/>
        <v>0</v>
      </c>
      <c r="K95" s="210">
        <f t="shared" si="43"/>
        <v>0</v>
      </c>
      <c r="L95" s="211" t="e">
        <f>SUM(M95:O95)</f>
        <v>#REF!</v>
      </c>
      <c r="M95" s="208" t="e">
        <f t="shared" si="43"/>
        <v>#REF!</v>
      </c>
      <c r="N95" s="208" t="e">
        <f t="shared" si="43"/>
        <v>#REF!</v>
      </c>
      <c r="O95" s="210" t="e">
        <f t="shared" si="43"/>
        <v>#REF!</v>
      </c>
      <c r="P95" s="255">
        <v>0</v>
      </c>
      <c r="Q95" s="256">
        <v>0</v>
      </c>
      <c r="R95" s="256">
        <v>0</v>
      </c>
      <c r="S95" s="257">
        <v>0</v>
      </c>
      <c r="T95" s="211">
        <f t="shared" si="43"/>
        <v>2850</v>
      </c>
      <c r="U95" s="208">
        <f t="shared" si="43"/>
        <v>2850</v>
      </c>
      <c r="V95" s="208">
        <f t="shared" si="43"/>
        <v>0</v>
      </c>
      <c r="W95" s="210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'[3]8.Doprava'!#REF!</f>
        <v>#REF!</v>
      </c>
      <c r="G96" s="104" t="e">
        <f>'[3]8.Doprava'!#REF!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'[3]8.Doprava'!#REF!</f>
        <v>#REF!</v>
      </c>
      <c r="N96" s="103" t="e">
        <f>'[3]8.Doprava'!#REF!</f>
        <v>#REF!</v>
      </c>
      <c r="O96" s="113" t="e">
        <f>'[3]8.Doprava'!#REF!</f>
        <v>#REF!</v>
      </c>
      <c r="P96" s="265">
        <v>0</v>
      </c>
      <c r="Q96" s="273">
        <v>0</v>
      </c>
      <c r="R96" s="273">
        <v>0</v>
      </c>
      <c r="S96" s="274">
        <v>0</v>
      </c>
      <c r="T96" s="112">
        <f>SUM(U96:W96)</f>
        <v>2850</v>
      </c>
      <c r="U96" s="103">
        <f>'[3]8.Doprava'!$H$7</f>
        <v>2850</v>
      </c>
      <c r="V96" s="103">
        <f>'[3]8.Doprava'!$I$7</f>
        <v>0</v>
      </c>
      <c r="W96" s="113">
        <f>'[3]8.Doprava'!$J$7</f>
        <v>0</v>
      </c>
    </row>
    <row r="97" spans="1:23" s="82" customFormat="1" ht="14.25" x14ac:dyDescent="0.2">
      <c r="B97" s="189" t="s">
        <v>266</v>
      </c>
      <c r="C97" s="190"/>
      <c r="D97" s="184" t="e">
        <f t="shared" ref="D97:W97" si="44">D98+D99+D107+D114+D117+D118+D119</f>
        <v>#REF!</v>
      </c>
      <c r="E97" s="185" t="e">
        <f t="shared" si="44"/>
        <v>#REF!</v>
      </c>
      <c r="F97" s="185" t="e">
        <f t="shared" si="44"/>
        <v>#REF!</v>
      </c>
      <c r="G97" s="186" t="e">
        <f t="shared" si="44"/>
        <v>#REF!</v>
      </c>
      <c r="H97" s="184">
        <f t="shared" si="44"/>
        <v>5702025.9800000004</v>
      </c>
      <c r="I97" s="185">
        <f t="shared" si="44"/>
        <v>5290112.9800000004</v>
      </c>
      <c r="J97" s="185">
        <f t="shared" si="44"/>
        <v>411913</v>
      </c>
      <c r="K97" s="187">
        <f t="shared" si="44"/>
        <v>0</v>
      </c>
      <c r="L97" s="188" t="e">
        <f t="shared" si="44"/>
        <v>#REF!</v>
      </c>
      <c r="M97" s="185" t="e">
        <f t="shared" si="44"/>
        <v>#REF!</v>
      </c>
      <c r="N97" s="185" t="e">
        <f t="shared" si="44"/>
        <v>#REF!</v>
      </c>
      <c r="O97" s="187" t="e">
        <f t="shared" si="44"/>
        <v>#REF!</v>
      </c>
      <c r="P97" s="263">
        <v>5603561.3399999999</v>
      </c>
      <c r="Q97" s="264">
        <v>5352051.54</v>
      </c>
      <c r="R97" s="264">
        <v>19924.32</v>
      </c>
      <c r="S97" s="268">
        <v>231585.48</v>
      </c>
      <c r="T97" s="188" t="e">
        <f t="shared" si="44"/>
        <v>#REF!</v>
      </c>
      <c r="U97" s="185" t="e">
        <f t="shared" si="44"/>
        <v>#REF!</v>
      </c>
      <c r="V97" s="185" t="e">
        <f t="shared" si="44"/>
        <v>#REF!</v>
      </c>
      <c r="W97" s="187" t="e">
        <f t="shared" si="44"/>
        <v>#REF!</v>
      </c>
    </row>
    <row r="98" spans="1:23" ht="16.5" x14ac:dyDescent="0.3">
      <c r="A98" s="84"/>
      <c r="B98" s="230" t="s">
        <v>267</v>
      </c>
      <c r="C98" s="226" t="s">
        <v>268</v>
      </c>
      <c r="D98" s="207" t="e">
        <f>SUM(E98:G98)</f>
        <v>#REF!</v>
      </c>
      <c r="E98" s="208">
        <v>38985</v>
      </c>
      <c r="F98" s="208" t="e">
        <f>'[3]9. Vzdelávanie'!#REF!</f>
        <v>#REF!</v>
      </c>
      <c r="G98" s="209" t="e">
        <f>'[3]9. Vzdelávanie'!#REF!</f>
        <v>#REF!</v>
      </c>
      <c r="H98" s="207">
        <f>SUM(I98:K98)</f>
        <v>63657</v>
      </c>
      <c r="I98" s="208">
        <v>63657</v>
      </c>
      <c r="J98" s="208">
        <v>0</v>
      </c>
      <c r="K98" s="210">
        <v>0</v>
      </c>
      <c r="L98" s="211" t="e">
        <f>SUM(M98:O98)</f>
        <v>#REF!</v>
      </c>
      <c r="M98" s="208" t="e">
        <f>'[3]9. Vzdelávanie'!#REF!</f>
        <v>#REF!</v>
      </c>
      <c r="N98" s="208" t="e">
        <f>'[3]9. Vzdelávanie'!#REF!</f>
        <v>#REF!</v>
      </c>
      <c r="O98" s="210" t="e">
        <f>'[3]9. Vzdelávanie'!#REF!</f>
        <v>#REF!</v>
      </c>
      <c r="P98" s="255">
        <v>2198.3000000000002</v>
      </c>
      <c r="Q98" s="256">
        <v>2198.3000000000002</v>
      </c>
      <c r="R98" s="256">
        <v>0</v>
      </c>
      <c r="S98" s="257">
        <v>0</v>
      </c>
      <c r="T98" s="211">
        <f>SUM(U98:W98)</f>
        <v>4292</v>
      </c>
      <c r="U98" s="208">
        <f>'[3]9. Vzdelávanie'!$H$4</f>
        <v>4292</v>
      </c>
      <c r="V98" s="208">
        <f>'[3]9. Vzdelávanie'!$I$4</f>
        <v>0</v>
      </c>
      <c r="W98" s="210">
        <f>'[3]9. Vzdelávanie'!$J$4</f>
        <v>0</v>
      </c>
    </row>
    <row r="99" spans="1:23" ht="15.75" x14ac:dyDescent="0.25">
      <c r="A99" s="84"/>
      <c r="B99" s="230" t="s">
        <v>269</v>
      </c>
      <c r="C99" s="221" t="s">
        <v>270</v>
      </c>
      <c r="D99" s="207" t="e">
        <f t="shared" ref="D99:W99" si="45">SUM(D100:D106)</f>
        <v>#REF!</v>
      </c>
      <c r="E99" s="208" t="e">
        <f t="shared" si="45"/>
        <v>#REF!</v>
      </c>
      <c r="F99" s="208" t="e">
        <f t="shared" si="45"/>
        <v>#REF!</v>
      </c>
      <c r="G99" s="209" t="e">
        <f t="shared" si="45"/>
        <v>#REF!</v>
      </c>
      <c r="H99" s="207">
        <f t="shared" si="45"/>
        <v>1549169</v>
      </c>
      <c r="I99" s="208">
        <f t="shared" si="45"/>
        <v>1139518</v>
      </c>
      <c r="J99" s="208">
        <f t="shared" si="45"/>
        <v>409651</v>
      </c>
      <c r="K99" s="210">
        <f t="shared" si="45"/>
        <v>0</v>
      </c>
      <c r="L99" s="211" t="e">
        <f t="shared" si="45"/>
        <v>#REF!</v>
      </c>
      <c r="M99" s="208" t="e">
        <f t="shared" si="45"/>
        <v>#REF!</v>
      </c>
      <c r="N99" s="208" t="e">
        <f t="shared" si="45"/>
        <v>#REF!</v>
      </c>
      <c r="O99" s="210" t="e">
        <f t="shared" si="45"/>
        <v>#REF!</v>
      </c>
      <c r="P99" s="255">
        <v>1169183</v>
      </c>
      <c r="Q99" s="256">
        <v>1169183</v>
      </c>
      <c r="R99" s="256">
        <v>0</v>
      </c>
      <c r="S99" s="257">
        <v>0</v>
      </c>
      <c r="T99" s="211" t="e">
        <f t="shared" si="45"/>
        <v>#REF!</v>
      </c>
      <c r="U99" s="208" t="e">
        <f t="shared" si="45"/>
        <v>#REF!</v>
      </c>
      <c r="V99" s="208" t="e">
        <f t="shared" si="45"/>
        <v>#REF!</v>
      </c>
      <c r="W99" s="210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'[3]9. Vzdelávanie'!#REF!</f>
        <v>#REF!</v>
      </c>
      <c r="G100" s="95" t="e">
        <f>'[3]9.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'[3]9. Vzdelávanie'!#REF!</f>
        <v>#REF!</v>
      </c>
      <c r="N100" s="94" t="e">
        <f>'[3]9. Vzdelávanie'!#REF!</f>
        <v>#REF!</v>
      </c>
      <c r="O100" s="96" t="e">
        <f>'[3]9. Vzdelávanie'!#REF!</f>
        <v>#REF!</v>
      </c>
      <c r="P100" s="255">
        <v>135961</v>
      </c>
      <c r="Q100" s="258">
        <v>135961</v>
      </c>
      <c r="R100" s="258">
        <v>0</v>
      </c>
      <c r="S100" s="259">
        <v>0</v>
      </c>
      <c r="T100" s="97" t="e">
        <f t="shared" ref="T100:T106" si="49">SUM(U100:W100)</f>
        <v>#REF!</v>
      </c>
      <c r="U100" s="94">
        <f>'[1]9. Vzdelávanie'!$Q$9</f>
        <v>1431</v>
      </c>
      <c r="V100" s="94" t="e">
        <f>'[3]9. Vzdelávanie'!$I$33</f>
        <v>#REF!</v>
      </c>
      <c r="W100" s="96" t="e">
        <f>'[3]9.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'[3]9. Vzdelávanie'!#REF!</f>
        <v>#REF!</v>
      </c>
      <c r="G101" s="95" t="e">
        <f>'[3]9.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'[3]9. Vzdelávanie'!#REF!</f>
        <v>#REF!</v>
      </c>
      <c r="N101" s="94" t="e">
        <f>'[3]9. Vzdelávanie'!#REF!</f>
        <v>#REF!</v>
      </c>
      <c r="O101" s="96" t="e">
        <f>'[3]9. Vzdelávanie'!#REF!</f>
        <v>#REF!</v>
      </c>
      <c r="P101" s="255">
        <v>272978</v>
      </c>
      <c r="Q101" s="258">
        <v>272978</v>
      </c>
      <c r="R101" s="258">
        <v>0</v>
      </c>
      <c r="S101" s="259">
        <v>0</v>
      </c>
      <c r="T101" s="97" t="e">
        <f t="shared" si="49"/>
        <v>#REF!</v>
      </c>
      <c r="U101" s="94">
        <f>'[1]9. Vzdelávanie'!$Q$18</f>
        <v>1479615</v>
      </c>
      <c r="V101" s="94" t="e">
        <f>'[3]9. Vzdelávanie'!$I$34</f>
        <v>#REF!</v>
      </c>
      <c r="W101" s="96" t="e">
        <f>'[3]9.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'[3]9.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'[3]9. Vzdelávanie'!#REF!</f>
        <v>#REF!</v>
      </c>
      <c r="N102" s="94" t="e">
        <f>'[3]9. Vzdelávanie'!#REF!</f>
        <v>#REF!</v>
      </c>
      <c r="O102" s="96" t="e">
        <f>'[3]9. Vzdelávanie'!#REF!</f>
        <v>#REF!</v>
      </c>
      <c r="P102" s="255">
        <v>284315</v>
      </c>
      <c r="Q102" s="258">
        <v>284315</v>
      </c>
      <c r="R102" s="258">
        <v>0</v>
      </c>
      <c r="S102" s="259">
        <v>0</v>
      </c>
      <c r="T102" s="97">
        <f t="shared" si="49"/>
        <v>147030</v>
      </c>
      <c r="U102" s="94">
        <f>'[1]9. Vzdelávanie'!$Q$19</f>
        <v>147030</v>
      </c>
      <c r="V102" s="94">
        <f>'[3]9. Vzdelávanie'!$I$35</f>
        <v>0</v>
      </c>
      <c r="W102" s="96">
        <f>'[3]9.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'[3]9. Vzdelávanie'!#REF!</f>
        <v>#REF!</v>
      </c>
      <c r="F103" s="94" t="e">
        <f>'[3]9. Vzdelávanie'!#REF!</f>
        <v>#REF!</v>
      </c>
      <c r="G103" s="95" t="e">
        <f>'[3]9.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'[3]9. Vzdelávanie'!#REF!</f>
        <v>#REF!</v>
      </c>
      <c r="N103" s="94" t="e">
        <f>'[3]9. Vzdelávanie'!#REF!</f>
        <v>#REF!</v>
      </c>
      <c r="O103" s="96" t="e">
        <f>'[3]9. Vzdelávanie'!#REF!</f>
        <v>#REF!</v>
      </c>
      <c r="P103" s="255">
        <v>0</v>
      </c>
      <c r="Q103" s="258">
        <v>0</v>
      </c>
      <c r="R103" s="258">
        <v>0</v>
      </c>
      <c r="S103" s="259">
        <v>0</v>
      </c>
      <c r="T103" s="97" t="e">
        <f t="shared" si="49"/>
        <v>#REF!</v>
      </c>
      <c r="U103" s="94">
        <f>'[3]9. Vzdelávanie'!$H$38</f>
        <v>0</v>
      </c>
      <c r="V103" s="94">
        <f>'[3]9. Vzdelávanie'!$I$38</f>
        <v>0</v>
      </c>
      <c r="W103" s="96" t="e">
        <f>'[3]9.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'[3]9. Vzdelávanie'!#REF!</f>
        <v>#REF!</v>
      </c>
      <c r="G104" s="95" t="e">
        <f>'[3]9.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'[3]9. Vzdelávanie'!#REF!</f>
        <v>#REF!</v>
      </c>
      <c r="N104" s="94" t="e">
        <f>'[3]9. Vzdelávanie'!#REF!</f>
        <v>#REF!</v>
      </c>
      <c r="O104" s="96" t="e">
        <f>'[3]9. Vzdelávanie'!#REF!</f>
        <v>#REF!</v>
      </c>
      <c r="P104" s="255">
        <v>179348</v>
      </c>
      <c r="Q104" s="258">
        <v>179348</v>
      </c>
      <c r="R104" s="258">
        <v>0</v>
      </c>
      <c r="S104" s="259">
        <v>0</v>
      </c>
      <c r="T104" s="97" t="e">
        <f t="shared" si="49"/>
        <v>#REF!</v>
      </c>
      <c r="U104" s="94" t="e">
        <f>'[1]9. Vzdelávanie'!#REF!</f>
        <v>#REF!</v>
      </c>
      <c r="V104" s="94" t="e">
        <f>'[3]9. Vzdelávanie'!$I$39</f>
        <v>#REF!</v>
      </c>
      <c r="W104" s="96" t="e">
        <f>'[3]9.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'[3]9.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'[3]9. Vzdelávanie'!#REF!</f>
        <v>#REF!</v>
      </c>
      <c r="N105" s="94" t="e">
        <f>'[3]9. Vzdelávanie'!#REF!</f>
        <v>#REF!</v>
      </c>
      <c r="O105" s="96" t="e">
        <f>'[3]9. Vzdelávanie'!#REF!</f>
        <v>#REF!</v>
      </c>
      <c r="P105" s="255">
        <v>169555</v>
      </c>
      <c r="Q105" s="258">
        <v>169555</v>
      </c>
      <c r="R105" s="258">
        <v>0</v>
      </c>
      <c r="S105" s="259">
        <v>0</v>
      </c>
      <c r="T105" s="97">
        <f t="shared" si="49"/>
        <v>84028</v>
      </c>
      <c r="U105" s="94">
        <f>'[1]9. Vzdelávanie'!$Q$22</f>
        <v>84028</v>
      </c>
      <c r="V105" s="94">
        <f>'[3]9. Vzdelávanie'!$I$40</f>
        <v>0</v>
      </c>
      <c r="W105" s="96">
        <f>'[3]9.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'[3]9.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'[3]9. Vzdelávanie'!#REF!</f>
        <v>#REF!</v>
      </c>
      <c r="N106" s="94" t="e">
        <f>'[3]9. Vzdelávanie'!#REF!</f>
        <v>#REF!</v>
      </c>
      <c r="O106" s="96" t="e">
        <f>'[3]9. Vzdelávanie'!#REF!</f>
        <v>#REF!</v>
      </c>
      <c r="P106" s="255">
        <v>127026</v>
      </c>
      <c r="Q106" s="258">
        <v>127026</v>
      </c>
      <c r="R106" s="258">
        <v>0</v>
      </c>
      <c r="S106" s="259">
        <v>0</v>
      </c>
      <c r="T106" s="97" t="e">
        <f t="shared" si="49"/>
        <v>#REF!</v>
      </c>
      <c r="U106" s="94" t="e">
        <f>'[1]9. Vzdelávanie'!#REF!</f>
        <v>#REF!</v>
      </c>
      <c r="V106" s="94" t="e">
        <f>'[3]9. Vzdelávanie'!$I$43</f>
        <v>#REF!</v>
      </c>
      <c r="W106" s="96" t="e">
        <f>'[3]9. Vzdelávanie'!$J$43</f>
        <v>#REF!</v>
      </c>
    </row>
    <row r="107" spans="1:23" ht="15.75" x14ac:dyDescent="0.25">
      <c r="A107" s="84"/>
      <c r="B107" s="230" t="s">
        <v>278</v>
      </c>
      <c r="C107" s="221" t="s">
        <v>279</v>
      </c>
      <c r="D107" s="207" t="e">
        <f t="shared" ref="D107:W107" si="50">SUM(D108:D113)</f>
        <v>#REF!</v>
      </c>
      <c r="E107" s="208">
        <f t="shared" si="50"/>
        <v>3234702</v>
      </c>
      <c r="F107" s="208" t="e">
        <f t="shared" si="50"/>
        <v>#REF!</v>
      </c>
      <c r="G107" s="209" t="e">
        <f t="shared" si="50"/>
        <v>#REF!</v>
      </c>
      <c r="H107" s="207">
        <f t="shared" si="50"/>
        <v>3200175</v>
      </c>
      <c r="I107" s="208">
        <f t="shared" si="50"/>
        <v>3198395</v>
      </c>
      <c r="J107" s="208">
        <f t="shared" si="50"/>
        <v>1780</v>
      </c>
      <c r="K107" s="210">
        <f t="shared" si="50"/>
        <v>0</v>
      </c>
      <c r="L107" s="211" t="e">
        <f t="shared" si="50"/>
        <v>#REF!</v>
      </c>
      <c r="M107" s="208" t="e">
        <f t="shared" si="50"/>
        <v>#REF!</v>
      </c>
      <c r="N107" s="208" t="e">
        <f t="shared" si="50"/>
        <v>#REF!</v>
      </c>
      <c r="O107" s="210" t="e">
        <f t="shared" si="50"/>
        <v>#REF!</v>
      </c>
      <c r="P107" s="255">
        <v>3506810.61</v>
      </c>
      <c r="Q107" s="256">
        <v>3255300.81</v>
      </c>
      <c r="R107" s="256">
        <v>19924.32</v>
      </c>
      <c r="S107" s="257">
        <v>231585.48</v>
      </c>
      <c r="T107" s="211" t="e">
        <f t="shared" si="50"/>
        <v>#REF!</v>
      </c>
      <c r="U107" s="208">
        <f t="shared" si="50"/>
        <v>5061640</v>
      </c>
      <c r="V107" s="208" t="e">
        <f t="shared" si="50"/>
        <v>#REF!</v>
      </c>
      <c r="W107" s="210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'[3]9. Vzdelávanie'!#REF!</f>
        <v>#REF!</v>
      </c>
      <c r="G108" s="95" t="e">
        <f>'[3]9.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'[3]9. Vzdelávanie'!#REF!</f>
        <v>#REF!</v>
      </c>
      <c r="N108" s="94" t="e">
        <f>'[3]9. Vzdelávanie'!#REF!</f>
        <v>#REF!</v>
      </c>
      <c r="O108" s="96" t="e">
        <f>'[3]9. Vzdelávanie'!#REF!</f>
        <v>#REF!</v>
      </c>
      <c r="P108" s="255">
        <v>282259</v>
      </c>
      <c r="Q108" s="258">
        <v>282259</v>
      </c>
      <c r="R108" s="258">
        <v>0</v>
      </c>
      <c r="S108" s="259">
        <v>0</v>
      </c>
      <c r="T108" s="97" t="e">
        <f t="shared" ref="T108:T113" si="54">SUM(U108:W108)</f>
        <v>#REF!</v>
      </c>
      <c r="U108" s="94">
        <f>'[1]9. Vzdelávanie'!$Q$25</f>
        <v>185514</v>
      </c>
      <c r="V108" s="94" t="e">
        <f>'[3]9. Vzdelávanie'!$I$46</f>
        <v>#REF!</v>
      </c>
      <c r="W108" s="96" t="e">
        <f>'[3]9.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'[3]9.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'[3]9. Vzdelávanie'!#REF!</f>
        <v>#REF!</v>
      </c>
      <c r="N109" s="94" t="e">
        <f>'[3]9. Vzdelávanie'!#REF!</f>
        <v>#REF!</v>
      </c>
      <c r="O109" s="96" t="e">
        <f>'[3]9. Vzdelávanie'!#REF!</f>
        <v>#REF!</v>
      </c>
      <c r="P109" s="255">
        <v>546122</v>
      </c>
      <c r="Q109" s="258">
        <v>546122</v>
      </c>
      <c r="R109" s="258">
        <v>0</v>
      </c>
      <c r="S109" s="259">
        <v>0</v>
      </c>
      <c r="T109" s="97" t="e">
        <f t="shared" si="54"/>
        <v>#REF!</v>
      </c>
      <c r="U109" s="94">
        <f>'[1]9. Vzdelávanie'!$Q$26</f>
        <v>33520</v>
      </c>
      <c r="V109" s="94" t="e">
        <f>'[3]9. Vzdelávanie'!$I$47</f>
        <v>#REF!</v>
      </c>
      <c r="W109" s="96" t="e">
        <f>'[3]9.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'[3]9. Vzdelávanie'!#REF!</f>
        <v>#REF!</v>
      </c>
      <c r="G110" s="95" t="e">
        <f>'[3]9.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'[3]9. Vzdelávanie'!#REF!</f>
        <v>#REF!</v>
      </c>
      <c r="N110" s="94" t="e">
        <f>'[3]9. Vzdelávanie'!#REF!</f>
        <v>#REF!</v>
      </c>
      <c r="O110" s="96" t="e">
        <f>'[3]9. Vzdelávanie'!#REF!</f>
        <v>#REF!</v>
      </c>
      <c r="P110" s="255">
        <v>1151774.29</v>
      </c>
      <c r="Q110" s="258">
        <v>920188.81</v>
      </c>
      <c r="R110" s="258">
        <v>0</v>
      </c>
      <c r="S110" s="277">
        <v>231585.48</v>
      </c>
      <c r="T110" s="97">
        <f t="shared" si="54"/>
        <v>4018433</v>
      </c>
      <c r="U110" s="94">
        <f>'[1]9. Vzdelávanie'!$Q$27</f>
        <v>3786847</v>
      </c>
      <c r="V110" s="94">
        <f>'[3]9. Vzdelávanie'!$I$48</f>
        <v>0</v>
      </c>
      <c r="W110" s="96">
        <f>'[3]9.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'[3]9.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'[3]9. Vzdelávanie'!#REF!</f>
        <v>#REF!</v>
      </c>
      <c r="N111" s="94" t="e">
        <f>'[3]9. Vzdelávanie'!#REF!</f>
        <v>#REF!</v>
      </c>
      <c r="O111" s="96" t="e">
        <f>'[3]9. Vzdelávanie'!#REF!</f>
        <v>#REF!</v>
      </c>
      <c r="P111" s="255">
        <v>606541</v>
      </c>
      <c r="Q111" s="258">
        <v>606541</v>
      </c>
      <c r="R111" s="258">
        <v>0</v>
      </c>
      <c r="S111" s="259">
        <v>0</v>
      </c>
      <c r="T111" s="97" t="e">
        <f t="shared" si="54"/>
        <v>#REF!</v>
      </c>
      <c r="U111" s="94">
        <f>'[1]9. Vzdelávanie'!$Q$36</f>
        <v>0</v>
      </c>
      <c r="V111" s="94" t="e">
        <f>'[3]9. Vzdelávanie'!$I$53</f>
        <v>#REF!</v>
      </c>
      <c r="W111" s="96" t="e">
        <f>'[3]9.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'[3]9. Vzdelávanie'!#REF!</f>
        <v>#REF!</v>
      </c>
      <c r="G112" s="95" t="e">
        <f>'[3]9.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'[3]9. Vzdelávanie'!#REF!</f>
        <v>#REF!</v>
      </c>
      <c r="N112" s="94" t="e">
        <f>'[3]9. Vzdelávanie'!#REF!</f>
        <v>#REF!</v>
      </c>
      <c r="O112" s="96" t="e">
        <f>'[3]9. Vzdelávanie'!#REF!</f>
        <v>#REF!</v>
      </c>
      <c r="P112" s="255">
        <v>576050</v>
      </c>
      <c r="Q112" s="258">
        <v>576050</v>
      </c>
      <c r="R112" s="258">
        <v>0</v>
      </c>
      <c r="S112" s="259">
        <v>0</v>
      </c>
      <c r="T112" s="97" t="e">
        <f t="shared" si="54"/>
        <v>#REF!</v>
      </c>
      <c r="U112" s="94">
        <f>'[1]9. Vzdelávanie'!$Q$37</f>
        <v>1055759</v>
      </c>
      <c r="V112" s="94">
        <f>'[3]9. Vzdelávanie'!$I$54</f>
        <v>4320</v>
      </c>
      <c r="W112" s="96" t="e">
        <f>'[3]9.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'[3]9. Vzdelávanie'!#REF!</f>
        <v>#REF!</v>
      </c>
      <c r="G113" s="95" t="e">
        <f>'[3]9.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'[3]9. Vzdelávanie'!#REF!</f>
        <v>#REF!</v>
      </c>
      <c r="N113" s="94" t="e">
        <f>'[3]9. Vzdelávanie'!#REF!</f>
        <v>#REF!</v>
      </c>
      <c r="O113" s="96" t="e">
        <f>'[3]9. Vzdelávanie'!#REF!</f>
        <v>#REF!</v>
      </c>
      <c r="P113" s="255">
        <v>344064.32</v>
      </c>
      <c r="Q113" s="258">
        <v>324140</v>
      </c>
      <c r="R113" s="278">
        <v>19924.32</v>
      </c>
      <c r="S113" s="259">
        <v>0</v>
      </c>
      <c r="T113" s="97">
        <f t="shared" si="54"/>
        <v>0</v>
      </c>
      <c r="U113" s="94">
        <f>'[1]9. Vzdelávanie'!$Q$38</f>
        <v>0</v>
      </c>
      <c r="V113" s="94">
        <f>'[1]9. Vzdelávanie'!$R$38</f>
        <v>0</v>
      </c>
      <c r="W113" s="96">
        <f>'[3]9. Vzdelávanie'!$J$55</f>
        <v>0</v>
      </c>
    </row>
    <row r="114" spans="1:23" ht="15.75" x14ac:dyDescent="0.25">
      <c r="A114" s="108"/>
      <c r="B114" s="230" t="s">
        <v>286</v>
      </c>
      <c r="C114" s="221" t="s">
        <v>287</v>
      </c>
      <c r="D114" s="207" t="e">
        <f t="shared" ref="D114:W114" si="55">SUM(D115:D116)</f>
        <v>#REF!</v>
      </c>
      <c r="E114" s="208">
        <f t="shared" si="55"/>
        <v>546333</v>
      </c>
      <c r="F114" s="208" t="e">
        <f t="shared" si="55"/>
        <v>#REF!</v>
      </c>
      <c r="G114" s="209" t="e">
        <f t="shared" si="55"/>
        <v>#REF!</v>
      </c>
      <c r="H114" s="207">
        <f t="shared" si="55"/>
        <v>538949</v>
      </c>
      <c r="I114" s="208">
        <f t="shared" si="55"/>
        <v>538949</v>
      </c>
      <c r="J114" s="208">
        <f t="shared" si="55"/>
        <v>0</v>
      </c>
      <c r="K114" s="210">
        <f t="shared" si="55"/>
        <v>0</v>
      </c>
      <c r="L114" s="211" t="e">
        <f t="shared" si="55"/>
        <v>#REF!</v>
      </c>
      <c r="M114" s="208" t="e">
        <f t="shared" si="55"/>
        <v>#REF!</v>
      </c>
      <c r="N114" s="208" t="e">
        <f t="shared" si="55"/>
        <v>#REF!</v>
      </c>
      <c r="O114" s="210" t="e">
        <f t="shared" si="55"/>
        <v>#REF!</v>
      </c>
      <c r="P114" s="255">
        <v>566109</v>
      </c>
      <c r="Q114" s="256">
        <v>566109</v>
      </c>
      <c r="R114" s="256">
        <v>0</v>
      </c>
      <c r="S114" s="257">
        <v>0</v>
      </c>
      <c r="T114" s="211" t="e">
        <f t="shared" si="55"/>
        <v>#REF!</v>
      </c>
      <c r="U114" s="208" t="e">
        <f t="shared" si="55"/>
        <v>#REF!</v>
      </c>
      <c r="V114" s="208" t="e">
        <f t="shared" si="55"/>
        <v>#REF!</v>
      </c>
      <c r="W114" s="210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'[3]9. Vzdelávanie'!#REF!</f>
        <v>#REF!</v>
      </c>
      <c r="G115" s="95" t="e">
        <f>'[3]9.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'[3]9. Vzdelávanie'!#REF!</f>
        <v>#REF!</v>
      </c>
      <c r="N115" s="94" t="e">
        <f>'[3]9. Vzdelávanie'!#REF!</f>
        <v>#REF!</v>
      </c>
      <c r="O115" s="96" t="e">
        <f>'[3]9. Vzdelávanie'!#REF!</f>
        <v>#REF!</v>
      </c>
      <c r="P115" s="255">
        <v>318002</v>
      </c>
      <c r="Q115" s="258">
        <v>318002</v>
      </c>
      <c r="R115" s="258">
        <v>0</v>
      </c>
      <c r="S115" s="259">
        <v>0</v>
      </c>
      <c r="T115" s="97" t="e">
        <f>SUM(U115:W115)</f>
        <v>#REF!</v>
      </c>
      <c r="U115" s="94">
        <f>'[1]9. Vzdelávanie'!$Q$46</f>
        <v>403289</v>
      </c>
      <c r="V115" s="94" t="e">
        <f>'[3]9. Vzdelávanie'!$I$59</f>
        <v>#REF!</v>
      </c>
      <c r="W115" s="96" t="e">
        <f>'[3]9.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'[3]9. Vzdelávanie'!#REF!</f>
        <v>#REF!</v>
      </c>
      <c r="G116" s="95" t="e">
        <f>'[3]9.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'[3]9. Vzdelávanie'!#REF!</f>
        <v>#REF!</v>
      </c>
      <c r="N116" s="94" t="e">
        <f>'[3]9. Vzdelávanie'!#REF!</f>
        <v>#REF!</v>
      </c>
      <c r="O116" s="96" t="e">
        <f>'[3]9. Vzdelávanie'!#REF!</f>
        <v>#REF!</v>
      </c>
      <c r="P116" s="255">
        <v>248107</v>
      </c>
      <c r="Q116" s="258">
        <v>248107</v>
      </c>
      <c r="R116" s="258">
        <v>0</v>
      </c>
      <c r="S116" s="259">
        <v>0</v>
      </c>
      <c r="T116" s="97" t="e">
        <f>SUM(U116:W116)</f>
        <v>#REF!</v>
      </c>
      <c r="U116" s="94" t="e">
        <f>'[1]9. Vzdelávanie'!#REF!</f>
        <v>#REF!</v>
      </c>
      <c r="V116" s="94" t="e">
        <f>'[3]9. Vzdelávanie'!$I$60</f>
        <v>#REF!</v>
      </c>
      <c r="W116" s="96" t="e">
        <f>'[3]9. Vzdelávanie'!$J$60</f>
        <v>#REF!</v>
      </c>
    </row>
    <row r="117" spans="1:23" ht="15.75" x14ac:dyDescent="0.25">
      <c r="A117" s="108"/>
      <c r="B117" s="236" t="s">
        <v>290</v>
      </c>
      <c r="C117" s="221" t="s">
        <v>291</v>
      </c>
      <c r="D117" s="207" t="e">
        <f>SUM(E117:G117)</f>
        <v>#REF!</v>
      </c>
      <c r="E117" s="208">
        <v>131871</v>
      </c>
      <c r="F117" s="208" t="e">
        <f>'[3]9. Vzdelávanie'!#REF!</f>
        <v>#REF!</v>
      </c>
      <c r="G117" s="209" t="e">
        <f>'[3]9. Vzdelávanie'!#REF!</f>
        <v>#REF!</v>
      </c>
      <c r="H117" s="207">
        <f>SUM(I117:K117)</f>
        <v>154105.49</v>
      </c>
      <c r="I117" s="208">
        <v>154105.49</v>
      </c>
      <c r="J117" s="208">
        <v>0</v>
      </c>
      <c r="K117" s="210">
        <v>0</v>
      </c>
      <c r="L117" s="211" t="e">
        <f>SUM(M117:O117)</f>
        <v>#REF!</v>
      </c>
      <c r="M117" s="208" t="e">
        <f>'[3]9. Vzdelávanie'!#REF!</f>
        <v>#REF!</v>
      </c>
      <c r="N117" s="208" t="e">
        <f>'[3]9. Vzdelávanie'!#REF!</f>
        <v>#REF!</v>
      </c>
      <c r="O117" s="210" t="e">
        <f>'[3]9. Vzdelávanie'!#REF!</f>
        <v>#REF!</v>
      </c>
      <c r="P117" s="255">
        <v>157758.09</v>
      </c>
      <c r="Q117" s="279">
        <v>157758.09</v>
      </c>
      <c r="R117" s="256">
        <v>0</v>
      </c>
      <c r="S117" s="257">
        <v>0</v>
      </c>
      <c r="T117" s="211">
        <f>SUM(U117:W117)</f>
        <v>212760</v>
      </c>
      <c r="U117" s="208">
        <f>'[3]9. Vzdelávanie'!$H$61</f>
        <v>212760</v>
      </c>
      <c r="V117" s="208">
        <f>'[3]9. Vzdelávanie'!$I$61</f>
        <v>0</v>
      </c>
      <c r="W117" s="210">
        <f>'[3]9. Vzdelávanie'!$J$61</f>
        <v>0</v>
      </c>
    </row>
    <row r="118" spans="1:23" ht="13.5" x14ac:dyDescent="0.25">
      <c r="A118" s="108"/>
      <c r="B118" s="236" t="s">
        <v>292</v>
      </c>
      <c r="C118" s="237" t="s">
        <v>293</v>
      </c>
      <c r="D118" s="207" t="e">
        <f>SUM(E118:G118)</f>
        <v>#REF!</v>
      </c>
      <c r="E118" s="208">
        <v>204439</v>
      </c>
      <c r="F118" s="208"/>
      <c r="G118" s="209" t="e">
        <f>'[3]9. Vzdelávanie'!#REF!</f>
        <v>#REF!</v>
      </c>
      <c r="H118" s="207">
        <f>SUM(I118:K118)</f>
        <v>195970.49</v>
      </c>
      <c r="I118" s="208">
        <v>195488.49</v>
      </c>
      <c r="J118" s="208">
        <v>482</v>
      </c>
      <c r="K118" s="210">
        <v>0</v>
      </c>
      <c r="L118" s="211" t="e">
        <f>SUM(M118:O118)</f>
        <v>#REF!</v>
      </c>
      <c r="M118" s="208" t="e">
        <f>'[3]9. Vzdelávanie'!#REF!</f>
        <v>#REF!</v>
      </c>
      <c r="N118" s="208" t="e">
        <f>'[3]9. Vzdelávanie'!#REF!</f>
        <v>#REF!</v>
      </c>
      <c r="O118" s="210" t="e">
        <f>'[3]9. Vzdelávanie'!#REF!</f>
        <v>#REF!</v>
      </c>
      <c r="P118" s="255">
        <v>201502.34</v>
      </c>
      <c r="Q118" s="279">
        <v>201502.34</v>
      </c>
      <c r="R118" s="256">
        <v>0</v>
      </c>
      <c r="S118" s="257">
        <v>0</v>
      </c>
      <c r="T118" s="211" t="e">
        <f>SUM(U118:W118)</f>
        <v>#REF!</v>
      </c>
      <c r="U118" s="208">
        <f>'[3]9. Vzdelávanie'!$H$72</f>
        <v>243590</v>
      </c>
      <c r="V118" s="208" t="e">
        <f>'[3]9. Vzdelávanie'!$I$72</f>
        <v>#REF!</v>
      </c>
      <c r="W118" s="210" t="e">
        <f>'[3]9. Vzdelávanie'!$J$72</f>
        <v>#REF!</v>
      </c>
    </row>
    <row r="119" spans="1:23" ht="14.25" thickBot="1" x14ac:dyDescent="0.3">
      <c r="A119" s="108"/>
      <c r="B119" s="238" t="s">
        <v>294</v>
      </c>
      <c r="C119" s="239" t="s">
        <v>295</v>
      </c>
      <c r="D119" s="215" t="e">
        <f>SUM(E119:G119)</f>
        <v>#REF!</v>
      </c>
      <c r="E119" s="216">
        <v>0</v>
      </c>
      <c r="F119" s="216" t="e">
        <f>'[3]9. Vzdelávanie'!#REF!</f>
        <v>#REF!</v>
      </c>
      <c r="G119" s="217" t="e">
        <f>'[3]9. Vzdelávanie'!#REF!</f>
        <v>#REF!</v>
      </c>
      <c r="H119" s="223">
        <v>0</v>
      </c>
      <c r="I119" s="218">
        <v>0</v>
      </c>
      <c r="J119" s="218">
        <v>0</v>
      </c>
      <c r="K119" s="219">
        <v>0</v>
      </c>
      <c r="L119" s="224" t="e">
        <f>SUM(M119:O119)</f>
        <v>#REF!</v>
      </c>
      <c r="M119" s="216" t="e">
        <f>'[3]9. Vzdelávanie'!#REF!</f>
        <v>#REF!</v>
      </c>
      <c r="N119" s="216" t="e">
        <f>'[3]9. Vzdelávanie'!#REF!</f>
        <v>#REF!</v>
      </c>
      <c r="O119" s="225" t="e">
        <f>'[3]9. Vzdelávanie'!#REF!</f>
        <v>#REF!</v>
      </c>
      <c r="P119" s="265">
        <v>0</v>
      </c>
      <c r="Q119" s="266">
        <v>0</v>
      </c>
      <c r="R119" s="266">
        <v>0</v>
      </c>
      <c r="S119" s="267">
        <v>0</v>
      </c>
      <c r="T119" s="211">
        <f>SUM(U119:W119)</f>
        <v>0</v>
      </c>
      <c r="U119" s="216">
        <f>'[3]9. Vzdelávanie'!$H$73</f>
        <v>0</v>
      </c>
      <c r="V119" s="216">
        <f>'[3]9. Vzdelávanie'!$I$73</f>
        <v>0</v>
      </c>
      <c r="W119" s="225">
        <f>'[3]9. Vzdelávanie'!$J$73</f>
        <v>0</v>
      </c>
    </row>
    <row r="120" spans="1:23" s="82" customFormat="1" ht="14.25" x14ac:dyDescent="0.2">
      <c r="A120" s="116"/>
      <c r="B120" s="189" t="s">
        <v>296</v>
      </c>
      <c r="C120" s="194"/>
      <c r="D120" s="184" t="e">
        <f t="shared" ref="D120:W120" si="56">D121+D122+D129</f>
        <v>#REF!</v>
      </c>
      <c r="E120" s="185">
        <f t="shared" si="56"/>
        <v>238491</v>
      </c>
      <c r="F120" s="185" t="e">
        <f t="shared" si="56"/>
        <v>#REF!</v>
      </c>
      <c r="G120" s="186" t="e">
        <f t="shared" si="56"/>
        <v>#REF!</v>
      </c>
      <c r="H120" s="184" t="e">
        <f t="shared" si="56"/>
        <v>#REF!</v>
      </c>
      <c r="I120" s="185">
        <f t="shared" si="56"/>
        <v>191345</v>
      </c>
      <c r="J120" s="185" t="e">
        <f t="shared" si="56"/>
        <v>#REF!</v>
      </c>
      <c r="K120" s="187">
        <f t="shared" si="56"/>
        <v>0</v>
      </c>
      <c r="L120" s="184" t="e">
        <f t="shared" si="56"/>
        <v>#REF!</v>
      </c>
      <c r="M120" s="185" t="e">
        <f t="shared" si="56"/>
        <v>#REF!</v>
      </c>
      <c r="N120" s="185" t="e">
        <f t="shared" si="56"/>
        <v>#REF!</v>
      </c>
      <c r="O120" s="187" t="e">
        <f t="shared" si="56"/>
        <v>#REF!</v>
      </c>
      <c r="P120" s="280">
        <v>773128.95</v>
      </c>
      <c r="Q120" s="264">
        <v>293226.87</v>
      </c>
      <c r="R120" s="264">
        <v>479902.08</v>
      </c>
      <c r="S120" s="268">
        <v>0</v>
      </c>
      <c r="T120" s="184" t="e">
        <f t="shared" si="56"/>
        <v>#REF!</v>
      </c>
      <c r="U120" s="185" t="e">
        <f t="shared" si="56"/>
        <v>#REF!</v>
      </c>
      <c r="V120" s="185" t="e">
        <f t="shared" si="56"/>
        <v>#REF!</v>
      </c>
      <c r="W120" s="187" t="e">
        <f t="shared" si="56"/>
        <v>#REF!</v>
      </c>
    </row>
    <row r="121" spans="1:23" ht="16.5" x14ac:dyDescent="0.3">
      <c r="A121" s="84"/>
      <c r="B121" s="230" t="s">
        <v>297</v>
      </c>
      <c r="C121" s="226" t="s">
        <v>298</v>
      </c>
      <c r="D121" s="207" t="e">
        <f>SUM(E121:G121)</f>
        <v>#REF!</v>
      </c>
      <c r="E121" s="208">
        <v>1794</v>
      </c>
      <c r="F121" s="208" t="e">
        <f>'[3]10. Šport'!#REF!</f>
        <v>#REF!</v>
      </c>
      <c r="G121" s="209" t="e">
        <f>'[3]10. Šport'!#REF!</f>
        <v>#REF!</v>
      </c>
      <c r="H121" s="207">
        <f>SUM(I121:K121)</f>
        <v>456</v>
      </c>
      <c r="I121" s="208">
        <v>456</v>
      </c>
      <c r="J121" s="208">
        <v>0</v>
      </c>
      <c r="K121" s="210">
        <v>0</v>
      </c>
      <c r="L121" s="207" t="e">
        <f>SUM(M121:O121)</f>
        <v>#REF!</v>
      </c>
      <c r="M121" s="208" t="e">
        <f>'[3]10. Šport'!#REF!</f>
        <v>#REF!</v>
      </c>
      <c r="N121" s="208" t="e">
        <f>'[3]10. Šport'!#REF!</f>
        <v>#REF!</v>
      </c>
      <c r="O121" s="210" t="e">
        <f>'[3]10. Šport'!#REF!</f>
        <v>#REF!</v>
      </c>
      <c r="P121" s="281">
        <v>242.5</v>
      </c>
      <c r="Q121" s="256">
        <v>242.5</v>
      </c>
      <c r="R121" s="256">
        <v>0</v>
      </c>
      <c r="S121" s="257">
        <v>0</v>
      </c>
      <c r="T121" s="207">
        <f>SUM(U121:W121)</f>
        <v>500</v>
      </c>
      <c r="U121" s="208">
        <f>'[3]10. Šport'!$H$4</f>
        <v>500</v>
      </c>
      <c r="V121" s="208">
        <f>'[3]10. Šport'!$I$4</f>
        <v>0</v>
      </c>
      <c r="W121" s="210">
        <f>'[3]10. Šport'!$J$4</f>
        <v>0</v>
      </c>
    </row>
    <row r="122" spans="1:23" ht="15.75" x14ac:dyDescent="0.25">
      <c r="A122" s="84"/>
      <c r="B122" s="230" t="s">
        <v>299</v>
      </c>
      <c r="C122" s="221" t="s">
        <v>300</v>
      </c>
      <c r="D122" s="207" t="e">
        <f t="shared" ref="D122:V122" si="57">SUM(D123:D127)</f>
        <v>#REF!</v>
      </c>
      <c r="E122" s="208">
        <f t="shared" si="57"/>
        <v>167023</v>
      </c>
      <c r="F122" s="208" t="e">
        <f t="shared" si="57"/>
        <v>#REF!</v>
      </c>
      <c r="G122" s="209" t="e">
        <f t="shared" si="57"/>
        <v>#REF!</v>
      </c>
      <c r="H122" s="207" t="e">
        <f t="shared" si="57"/>
        <v>#REF!</v>
      </c>
      <c r="I122" s="208">
        <f t="shared" si="57"/>
        <v>140889</v>
      </c>
      <c r="J122" s="208" t="e">
        <f t="shared" si="57"/>
        <v>#REF!</v>
      </c>
      <c r="K122" s="210">
        <f t="shared" si="57"/>
        <v>0</v>
      </c>
      <c r="L122" s="207" t="e">
        <f t="shared" si="57"/>
        <v>#REF!</v>
      </c>
      <c r="M122" s="208" t="e">
        <f t="shared" si="57"/>
        <v>#REF!</v>
      </c>
      <c r="N122" s="208" t="e">
        <f t="shared" si="57"/>
        <v>#REF!</v>
      </c>
      <c r="O122" s="210" t="e">
        <f t="shared" si="57"/>
        <v>#REF!</v>
      </c>
      <c r="P122" s="281">
        <v>722886.45</v>
      </c>
      <c r="Q122" s="256">
        <v>242984.37</v>
      </c>
      <c r="R122" s="256">
        <v>479902.08</v>
      </c>
      <c r="S122" s="257">
        <v>0</v>
      </c>
      <c r="T122" s="207">
        <f t="shared" si="57"/>
        <v>125644</v>
      </c>
      <c r="U122" s="208">
        <f>SUM(U123:U128)</f>
        <v>137644</v>
      </c>
      <c r="V122" s="208">
        <f t="shared" si="57"/>
        <v>0</v>
      </c>
      <c r="W122" s="210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'[3]10. Šport'!#REF!</f>
        <v>#REF!</v>
      </c>
      <c r="G123" s="95" t="e">
        <f>'[3]10.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'[3]10. Šport'!#REF!</f>
        <v>#REF!</v>
      </c>
      <c r="N123" s="94" t="e">
        <f>'[3]10. Šport'!#REF!</f>
        <v>#REF!</v>
      </c>
      <c r="O123" s="96" t="e">
        <f>'[3]10. Šport'!#REF!</f>
        <v>#REF!</v>
      </c>
      <c r="P123" s="281">
        <v>52074.76</v>
      </c>
      <c r="Q123" s="258">
        <v>52074.76</v>
      </c>
      <c r="R123" s="258">
        <v>0</v>
      </c>
      <c r="S123" s="259">
        <v>0</v>
      </c>
      <c r="T123" s="93">
        <f t="shared" ref="T123:T129" si="61">SUM(U123:W123)</f>
        <v>42170</v>
      </c>
      <c r="U123" s="94">
        <f>'[3]10. Šport'!$H$9</f>
        <v>42170</v>
      </c>
      <c r="V123" s="94">
        <f>'[3]10. Šport'!$I$9</f>
        <v>0</v>
      </c>
      <c r="W123" s="96">
        <f>'[3]10.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'[3]10. Šport'!#REF!</f>
        <v>#REF!</v>
      </c>
      <c r="H124" s="93" t="e">
        <f t="shared" si="59"/>
        <v>#REF!</v>
      </c>
      <c r="I124" s="94">
        <v>27121</v>
      </c>
      <c r="J124" s="94" t="e">
        <f>'[3]10. Šport'!#REF!</f>
        <v>#REF!</v>
      </c>
      <c r="K124" s="96">
        <v>0</v>
      </c>
      <c r="L124" s="93" t="e">
        <f t="shared" si="60"/>
        <v>#REF!</v>
      </c>
      <c r="M124" s="94" t="e">
        <f>'[3]10. Šport'!#REF!</f>
        <v>#REF!</v>
      </c>
      <c r="N124" s="94" t="e">
        <f>'[3]10. Šport'!#REF!</f>
        <v>#REF!</v>
      </c>
      <c r="O124" s="96" t="e">
        <f>'[3]10. Šport'!#REF!</f>
        <v>#REF!</v>
      </c>
      <c r="P124" s="281">
        <v>567083.27</v>
      </c>
      <c r="Q124" s="258">
        <v>87181.19</v>
      </c>
      <c r="R124" s="258">
        <v>479902.08</v>
      </c>
      <c r="S124" s="259">
        <v>0</v>
      </c>
      <c r="T124" s="93">
        <f t="shared" si="61"/>
        <v>45954</v>
      </c>
      <c r="U124" s="94">
        <f>'[3]10. Šport'!$H$23</f>
        <v>45954</v>
      </c>
      <c r="V124" s="94">
        <f>'[3]10. Šport'!$I$23</f>
        <v>0</v>
      </c>
      <c r="W124" s="96">
        <f>'[3]10.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'[3]10. Šport'!#REF!</f>
        <v>#REF!</v>
      </c>
      <c r="G125" s="95" t="e">
        <f>'[3]10.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'[3]10. Šport'!#REF!</f>
        <v>#REF!</v>
      </c>
      <c r="N125" s="94" t="e">
        <f>'[3]10. Šport'!#REF!</f>
        <v>#REF!</v>
      </c>
      <c r="O125" s="96" t="e">
        <f>'[3]10. Šport'!#REF!</f>
        <v>#REF!</v>
      </c>
      <c r="P125" s="281">
        <v>15001.11</v>
      </c>
      <c r="Q125" s="258">
        <v>15001.11</v>
      </c>
      <c r="R125" s="258">
        <v>0</v>
      </c>
      <c r="S125" s="259">
        <v>0</v>
      </c>
      <c r="T125" s="93">
        <f t="shared" si="61"/>
        <v>18820</v>
      </c>
      <c r="U125" s="94">
        <f>'[3]10. Šport'!$H$36</f>
        <v>18820</v>
      </c>
      <c r="V125" s="94">
        <f>'[3]10. Šport'!$I$36</f>
        <v>0</v>
      </c>
      <c r="W125" s="96">
        <f>'[3]10.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'[3]10. Šport'!#REF!</f>
        <v>#REF!</v>
      </c>
      <c r="G126" s="95" t="e">
        <f>'[3]10.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'[3]10. Šport'!#REF!</f>
        <v>#REF!</v>
      </c>
      <c r="N126" s="94" t="e">
        <f>'[3]10. Šport'!#REF!</f>
        <v>#REF!</v>
      </c>
      <c r="O126" s="96" t="e">
        <f>'[3]10. Šport'!#REF!</f>
        <v>#REF!</v>
      </c>
      <c r="P126" s="281">
        <v>85409.57</v>
      </c>
      <c r="Q126" s="258">
        <v>85409.57</v>
      </c>
      <c r="R126" s="258">
        <v>0</v>
      </c>
      <c r="S126" s="259">
        <v>0</v>
      </c>
      <c r="T126" s="93">
        <f t="shared" si="61"/>
        <v>16800</v>
      </c>
      <c r="U126" s="94">
        <f>'[1]10. Šport'!$Q$38</f>
        <v>16800</v>
      </c>
      <c r="V126" s="94">
        <f>'[3]10. Šport'!$I$44</f>
        <v>0</v>
      </c>
      <c r="W126" s="96">
        <f>'[3]10.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'[3]10. Šport'!#REF!</f>
        <v>#REF!</v>
      </c>
      <c r="G127" s="95" t="e">
        <f>'[3]10.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'[3]10. Šport'!#REF!</f>
        <v>#REF!</v>
      </c>
      <c r="N127" s="94" t="e">
        <f>'[3]10. Šport'!#REF!</f>
        <v>#REF!</v>
      </c>
      <c r="O127" s="96" t="e">
        <f>'[3]10. Šport'!#REF!</f>
        <v>#REF!</v>
      </c>
      <c r="P127" s="281">
        <v>3317.74</v>
      </c>
      <c r="Q127" s="258">
        <v>3317.74</v>
      </c>
      <c r="R127" s="258">
        <v>0</v>
      </c>
      <c r="S127" s="259">
        <v>0</v>
      </c>
      <c r="T127" s="93">
        <f t="shared" si="61"/>
        <v>1900</v>
      </c>
      <c r="U127" s="94">
        <f>'[3]10. Šport'!$H$57</f>
        <v>1900</v>
      </c>
      <c r="V127" s="94">
        <f>'[3]10. Šport'!$I$57</f>
        <v>0</v>
      </c>
      <c r="W127" s="96">
        <f>'[3]10. Šport'!$J$57</f>
        <v>0</v>
      </c>
    </row>
    <row r="128" spans="1:23" ht="15.75" x14ac:dyDescent="0.25">
      <c r="A128" s="84"/>
      <c r="B128" s="162">
        <v>6</v>
      </c>
      <c r="C128" s="163" t="s">
        <v>387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81">
        <v>0</v>
      </c>
      <c r="Q128" s="258">
        <v>0</v>
      </c>
      <c r="R128" s="258">
        <v>0</v>
      </c>
      <c r="S128" s="259">
        <v>0</v>
      </c>
      <c r="T128" s="288">
        <f>SUM(U128:W128)</f>
        <v>12000</v>
      </c>
      <c r="U128" s="105">
        <f>'[1]10. Šport'!$Q$56</f>
        <v>12000</v>
      </c>
      <c r="V128" s="105">
        <f>'[3]10. Šport'!$I$63</f>
        <v>0</v>
      </c>
      <c r="W128" s="106">
        <f>'[3]10. Šport'!$J$63</f>
        <v>0</v>
      </c>
    </row>
    <row r="129" spans="1:23" ht="17.25" thickBot="1" x14ac:dyDescent="0.35">
      <c r="A129" s="84"/>
      <c r="B129" s="227" t="s">
        <v>306</v>
      </c>
      <c r="C129" s="228" t="s">
        <v>307</v>
      </c>
      <c r="D129" s="215" t="e">
        <f t="shared" si="58"/>
        <v>#REF!</v>
      </c>
      <c r="E129" s="216">
        <v>69674</v>
      </c>
      <c r="F129" s="216" t="e">
        <f>'[3]10. Šport'!#REF!</f>
        <v>#REF!</v>
      </c>
      <c r="G129" s="217" t="e">
        <f>'[3]10. Šport'!#REF!</f>
        <v>#REF!</v>
      </c>
      <c r="H129" s="223">
        <f t="shared" si="59"/>
        <v>50000</v>
      </c>
      <c r="I129" s="218">
        <v>50000</v>
      </c>
      <c r="J129" s="218">
        <v>0</v>
      </c>
      <c r="K129" s="219">
        <v>0</v>
      </c>
      <c r="L129" s="215" t="e">
        <f t="shared" si="60"/>
        <v>#REF!</v>
      </c>
      <c r="M129" s="216" t="e">
        <f>'[3]10. Šport'!#REF!</f>
        <v>#REF!</v>
      </c>
      <c r="N129" s="216" t="e">
        <f>'[3]10. Šport'!#REF!</f>
        <v>#REF!</v>
      </c>
      <c r="O129" s="225" t="e">
        <f>'[3]10. Šport'!#REF!</f>
        <v>#REF!</v>
      </c>
      <c r="P129" s="282">
        <v>50000</v>
      </c>
      <c r="Q129" s="266">
        <v>50000</v>
      </c>
      <c r="R129" s="266">
        <v>0</v>
      </c>
      <c r="S129" s="267">
        <v>0</v>
      </c>
      <c r="T129" s="215" t="e">
        <f t="shared" si="61"/>
        <v>#REF!</v>
      </c>
      <c r="U129" s="216" t="e">
        <f>'[3]10. Šport'!$H$67</f>
        <v>#REF!</v>
      </c>
      <c r="V129" s="216" t="e">
        <f>'[3]10. Šport'!$I$67</f>
        <v>#REF!</v>
      </c>
      <c r="W129" s="225" t="e">
        <f>'[3]10. Šport'!$J$67</f>
        <v>#REF!</v>
      </c>
    </row>
    <row r="130" spans="1:23" s="82" customFormat="1" ht="14.25" x14ac:dyDescent="0.2">
      <c r="B130" s="189" t="s">
        <v>308</v>
      </c>
      <c r="C130" s="194"/>
      <c r="D130" s="184" t="e">
        <f t="shared" ref="D130:K130" si="62">D131+D132+D137+D138</f>
        <v>#REF!</v>
      </c>
      <c r="E130" s="185">
        <f t="shared" si="62"/>
        <v>516693.98</v>
      </c>
      <c r="F130" s="185" t="e">
        <f t="shared" si="62"/>
        <v>#REF!</v>
      </c>
      <c r="G130" s="186" t="e">
        <f t="shared" si="62"/>
        <v>#REF!</v>
      </c>
      <c r="H130" s="184" t="e">
        <f t="shared" si="62"/>
        <v>#REF!</v>
      </c>
      <c r="I130" s="185" t="e">
        <f t="shared" si="62"/>
        <v>#REF!</v>
      </c>
      <c r="J130" s="185" t="e">
        <f t="shared" si="62"/>
        <v>#REF!</v>
      </c>
      <c r="K130" s="187" t="e">
        <f t="shared" si="62"/>
        <v>#REF!</v>
      </c>
      <c r="L130" s="188" t="e">
        <f>L131+L132+L138+L137</f>
        <v>#REF!</v>
      </c>
      <c r="M130" s="185" t="e">
        <f>M131+M132+M137+M138</f>
        <v>#REF!</v>
      </c>
      <c r="N130" s="185" t="e">
        <f>N131+N132+N137+N138</f>
        <v>#REF!</v>
      </c>
      <c r="O130" s="187" t="e">
        <f>O131+O132+O137+O138</f>
        <v>#REF!</v>
      </c>
      <c r="P130" s="263">
        <v>437280.51</v>
      </c>
      <c r="Q130" s="264">
        <v>394199.44</v>
      </c>
      <c r="R130" s="264">
        <v>45000</v>
      </c>
      <c r="S130" s="268">
        <v>0</v>
      </c>
      <c r="T130" s="188" t="e">
        <f>T131+T132+T138+T137</f>
        <v>#REF!</v>
      </c>
      <c r="U130" s="185" t="e">
        <f>U131+U132+U137+U138</f>
        <v>#REF!</v>
      </c>
      <c r="V130" s="185" t="e">
        <f>V131+V132+V137+V138</f>
        <v>#REF!</v>
      </c>
      <c r="W130" s="187" t="e">
        <f>W131+W132+W137+W138</f>
        <v>#REF!</v>
      </c>
    </row>
    <row r="131" spans="1:23" ht="16.5" x14ac:dyDescent="0.3">
      <c r="A131" s="84"/>
      <c r="B131" s="230" t="s">
        <v>309</v>
      </c>
      <c r="C131" s="226" t="s">
        <v>310</v>
      </c>
      <c r="D131" s="207" t="e">
        <f>SUM(E131:G131)</f>
        <v>#REF!</v>
      </c>
      <c r="E131" s="208">
        <v>9270</v>
      </c>
      <c r="F131" s="208" t="e">
        <f>'[3]11. Kultúra'!#REF!</f>
        <v>#REF!</v>
      </c>
      <c r="G131" s="209" t="e">
        <f>'[3]11. Kultúra'!#REF!</f>
        <v>#REF!</v>
      </c>
      <c r="H131" s="207" t="e">
        <f>SUM(I131:K131)</f>
        <v>#REF!</v>
      </c>
      <c r="I131" s="208" t="e">
        <f>'[3]11. Kultúra'!#REF!</f>
        <v>#REF!</v>
      </c>
      <c r="J131" s="208" t="e">
        <f>'[3]11. Kultúra'!#REF!</f>
        <v>#REF!</v>
      </c>
      <c r="K131" s="210" t="e">
        <f>'[3]11. Kultúra'!#REF!</f>
        <v>#REF!</v>
      </c>
      <c r="L131" s="211" t="e">
        <f>SUM(M131:O131)</f>
        <v>#REF!</v>
      </c>
      <c r="M131" s="208" t="e">
        <f>'[3]11. Kultúra'!#REF!</f>
        <v>#REF!</v>
      </c>
      <c r="N131" s="208" t="e">
        <f>'[3]11. Kultúra'!#REF!</f>
        <v>#REF!</v>
      </c>
      <c r="O131" s="210" t="e">
        <f>'[3]11. Kultúra'!#REF!</f>
        <v>#REF!</v>
      </c>
      <c r="P131" s="255">
        <v>3434.8</v>
      </c>
      <c r="Q131" s="256">
        <v>3434.8</v>
      </c>
      <c r="R131" s="256">
        <v>0</v>
      </c>
      <c r="S131" s="257">
        <v>0</v>
      </c>
      <c r="T131" s="211">
        <f>SUM(U131:W131)</f>
        <v>2940</v>
      </c>
      <c r="U131" s="208">
        <f>'[3]11. Kultúra'!$H$4</f>
        <v>2940</v>
      </c>
      <c r="V131" s="208">
        <f>'[3]11. Kultúra'!$I$4</f>
        <v>0</v>
      </c>
      <c r="W131" s="210">
        <f>'[3]11. Kultúra'!$J$4</f>
        <v>0</v>
      </c>
    </row>
    <row r="132" spans="1:23" ht="15.75" x14ac:dyDescent="0.25">
      <c r="A132" s="84"/>
      <c r="B132" s="230" t="s">
        <v>311</v>
      </c>
      <c r="C132" s="221" t="s">
        <v>312</v>
      </c>
      <c r="D132" s="207" t="e">
        <f t="shared" ref="D132:W132" si="63">SUM(D133:D136)</f>
        <v>#REF!</v>
      </c>
      <c r="E132" s="208">
        <f t="shared" si="63"/>
        <v>474163.98</v>
      </c>
      <c r="F132" s="208" t="e">
        <f t="shared" si="63"/>
        <v>#REF!</v>
      </c>
      <c r="G132" s="209" t="e">
        <f t="shared" si="63"/>
        <v>#REF!</v>
      </c>
      <c r="H132" s="207" t="e">
        <f t="shared" si="63"/>
        <v>#REF!</v>
      </c>
      <c r="I132" s="208" t="e">
        <f t="shared" si="63"/>
        <v>#REF!</v>
      </c>
      <c r="J132" s="208" t="e">
        <f t="shared" si="63"/>
        <v>#REF!</v>
      </c>
      <c r="K132" s="210" t="e">
        <f t="shared" si="63"/>
        <v>#REF!</v>
      </c>
      <c r="L132" s="211" t="e">
        <f t="shared" si="63"/>
        <v>#REF!</v>
      </c>
      <c r="M132" s="208" t="e">
        <f t="shared" si="63"/>
        <v>#REF!</v>
      </c>
      <c r="N132" s="208" t="e">
        <f t="shared" si="63"/>
        <v>#REF!</v>
      </c>
      <c r="O132" s="210" t="e">
        <f t="shared" si="63"/>
        <v>#REF!</v>
      </c>
      <c r="P132" s="255">
        <v>430545.71</v>
      </c>
      <c r="Q132" s="256">
        <v>387464.64</v>
      </c>
      <c r="R132" s="256">
        <v>45000</v>
      </c>
      <c r="S132" s="257">
        <v>0</v>
      </c>
      <c r="T132" s="211" t="e">
        <f t="shared" si="63"/>
        <v>#REF!</v>
      </c>
      <c r="U132" s="208" t="e">
        <f t="shared" si="63"/>
        <v>#REF!</v>
      </c>
      <c r="V132" s="208" t="e">
        <f t="shared" si="63"/>
        <v>#REF!</v>
      </c>
      <c r="W132" s="210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'[3]11. Kultúra'!#REF!</f>
        <v>#REF!</v>
      </c>
      <c r="H133" s="93" t="e">
        <f t="shared" ref="H133:H138" si="65">SUM(I133:K133)</f>
        <v>#REF!</v>
      </c>
      <c r="I133" s="94" t="e">
        <f>'[3]11. Kultúra'!#REF!</f>
        <v>#REF!</v>
      </c>
      <c r="J133" s="94" t="e">
        <f>'[3]11. Kultúra'!#REF!</f>
        <v>#REF!</v>
      </c>
      <c r="K133" s="96" t="e">
        <f>'[3]11. Kultúra'!#REF!</f>
        <v>#REF!</v>
      </c>
      <c r="L133" s="97" t="e">
        <f t="shared" ref="L133:L138" si="66">SUM(M133:O133)</f>
        <v>#REF!</v>
      </c>
      <c r="M133" s="94" t="e">
        <f>'[3]11. Kultúra'!#REF!</f>
        <v>#REF!</v>
      </c>
      <c r="N133" s="94" t="e">
        <f>'[3]11. Kultúra'!#REF!</f>
        <v>#REF!</v>
      </c>
      <c r="O133" s="96" t="e">
        <f>'[3]11. Kultúra'!#REF!</f>
        <v>#REF!</v>
      </c>
      <c r="P133" s="255">
        <v>100378.95</v>
      </c>
      <c r="Q133" s="258">
        <v>100378.95</v>
      </c>
      <c r="R133" s="258">
        <v>0</v>
      </c>
      <c r="S133" s="259">
        <v>0</v>
      </c>
      <c r="T133" s="97">
        <f t="shared" ref="T133:T138" si="67">SUM(U133:W133)</f>
        <v>109400</v>
      </c>
      <c r="U133" s="94">
        <f>'[3]11. Kultúra'!$H$24</f>
        <v>109400</v>
      </c>
      <c r="V133" s="94">
        <f>'[3]11. Kultúra'!$I$24</f>
        <v>0</v>
      </c>
      <c r="W133" s="96">
        <f>'[3]11.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'[3]11. Kultúra'!#REF!</f>
        <v>#REF!</v>
      </c>
      <c r="G134" s="95" t="e">
        <f>'[3]11. Kultúra'!#REF!</f>
        <v>#REF!</v>
      </c>
      <c r="H134" s="93" t="e">
        <f t="shared" si="65"/>
        <v>#REF!</v>
      </c>
      <c r="I134" s="94" t="e">
        <f>'[3]11. Kultúra'!#REF!</f>
        <v>#REF!</v>
      </c>
      <c r="J134" s="94" t="e">
        <f>'[3]11. Kultúra'!#REF!</f>
        <v>#REF!</v>
      </c>
      <c r="K134" s="96" t="e">
        <f>'[3]11. Kultúra'!#REF!</f>
        <v>#REF!</v>
      </c>
      <c r="L134" s="97" t="e">
        <f t="shared" si="66"/>
        <v>#REF!</v>
      </c>
      <c r="M134" s="94" t="e">
        <f>'[3]11. Kultúra'!#REF!</f>
        <v>#REF!</v>
      </c>
      <c r="N134" s="94" t="e">
        <f>'[3]11. Kultúra'!#REF!</f>
        <v>#REF!</v>
      </c>
      <c r="O134" s="96" t="e">
        <f>'[3]11. Kultúra'!#REF!</f>
        <v>#REF!</v>
      </c>
      <c r="P134" s="255">
        <v>2714.41</v>
      </c>
      <c r="Q134" s="258">
        <v>2714.41</v>
      </c>
      <c r="R134" s="258">
        <v>0</v>
      </c>
      <c r="S134" s="259">
        <v>0</v>
      </c>
      <c r="T134" s="97">
        <f t="shared" si="67"/>
        <v>2355</v>
      </c>
      <c r="U134" s="94">
        <f>'[3]11. Kultúra'!$H$30</f>
        <v>2355</v>
      </c>
      <c r="V134" s="94">
        <f>'[3]11. Kultúra'!$I$30</f>
        <v>0</v>
      </c>
      <c r="W134" s="96">
        <f>'[3]11.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'[3]11. Kultúra'!#REF!</f>
        <v>#REF!</v>
      </c>
      <c r="H135" s="93" t="e">
        <f t="shared" si="65"/>
        <v>#REF!</v>
      </c>
      <c r="I135" s="94" t="e">
        <f>'[3]11. Kultúra'!#REF!</f>
        <v>#REF!</v>
      </c>
      <c r="J135" s="94" t="e">
        <f>'[3]11. Kultúra'!#REF!</f>
        <v>#REF!</v>
      </c>
      <c r="K135" s="96" t="e">
        <f>'[3]11. Kultúra'!#REF!</f>
        <v>#REF!</v>
      </c>
      <c r="L135" s="97" t="e">
        <f t="shared" si="66"/>
        <v>#REF!</v>
      </c>
      <c r="M135" s="94" t="e">
        <f>'[3]11. Kultúra'!#REF!</f>
        <v>#REF!</v>
      </c>
      <c r="N135" s="94" t="e">
        <f>'[3]11. Kultúra'!#REF!</f>
        <v>#REF!</v>
      </c>
      <c r="O135" s="96" t="e">
        <f>'[3]11. Kultúra'!#REF!</f>
        <v>#REF!</v>
      </c>
      <c r="P135" s="255">
        <v>317027.34999999998</v>
      </c>
      <c r="Q135" s="258">
        <v>273946.28000000003</v>
      </c>
      <c r="R135" s="258">
        <v>45000</v>
      </c>
      <c r="S135" s="259">
        <v>0</v>
      </c>
      <c r="T135" s="97">
        <f t="shared" si="67"/>
        <v>371273</v>
      </c>
      <c r="U135" s="94">
        <f>'[3]11. Kultúra'!$H$43</f>
        <v>306185</v>
      </c>
      <c r="V135" s="94">
        <f>'[3]11. Kultúra'!$I$43</f>
        <v>65088</v>
      </c>
      <c r="W135" s="96">
        <f>'[3]11.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'[3]11. Kultúra'!#REF!</f>
        <v>#REF!</v>
      </c>
      <c r="G136" s="95" t="e">
        <f>'[3]11. Kultúra'!#REF!</f>
        <v>#REF!</v>
      </c>
      <c r="H136" s="93" t="e">
        <f t="shared" si="65"/>
        <v>#REF!</v>
      </c>
      <c r="I136" s="94" t="e">
        <f>'[3]11. Kultúra'!#REF!</f>
        <v>#REF!</v>
      </c>
      <c r="J136" s="94" t="e">
        <f>'[3]11. Kultúra'!#REF!</f>
        <v>#REF!</v>
      </c>
      <c r="K136" s="96" t="e">
        <f>'[3]11. Kultúra'!#REF!</f>
        <v>#REF!</v>
      </c>
      <c r="L136" s="97" t="e">
        <f t="shared" si="66"/>
        <v>#REF!</v>
      </c>
      <c r="M136" s="94">
        <v>19300</v>
      </c>
      <c r="N136" s="94" t="e">
        <f>'[3]11. Kultúra'!#REF!</f>
        <v>#REF!</v>
      </c>
      <c r="O136" s="96" t="e">
        <f>'[3]11. Kultúra'!#REF!</f>
        <v>#REF!</v>
      </c>
      <c r="P136" s="255">
        <v>10425</v>
      </c>
      <c r="Q136" s="258">
        <v>10425</v>
      </c>
      <c r="R136" s="258">
        <v>0</v>
      </c>
      <c r="S136" s="259">
        <v>0</v>
      </c>
      <c r="T136" s="97" t="e">
        <f t="shared" si="67"/>
        <v>#REF!</v>
      </c>
      <c r="U136" s="94" t="e">
        <f>'[3]11. Kultúra'!$H$141</f>
        <v>#REF!</v>
      </c>
      <c r="V136" s="94" t="e">
        <f>'[3]11. Kultúra'!$I$140</f>
        <v>#REF!</v>
      </c>
      <c r="W136" s="96" t="e">
        <f>'[3]11. Kultúra'!$J$140</f>
        <v>#REF!</v>
      </c>
    </row>
    <row r="137" spans="1:23" ht="15.75" x14ac:dyDescent="0.25">
      <c r="A137" s="84"/>
      <c r="B137" s="230" t="s">
        <v>317</v>
      </c>
      <c r="C137" s="221" t="s">
        <v>318</v>
      </c>
      <c r="D137" s="207" t="e">
        <f t="shared" si="64"/>
        <v>#REF!</v>
      </c>
      <c r="E137" s="208">
        <v>31250</v>
      </c>
      <c r="F137" s="208">
        <v>0</v>
      </c>
      <c r="G137" s="209" t="e">
        <f>'[3]11. Kultúra'!#REF!</f>
        <v>#REF!</v>
      </c>
      <c r="H137" s="207" t="e">
        <f t="shared" si="65"/>
        <v>#REF!</v>
      </c>
      <c r="I137" s="208" t="e">
        <f>'[3]11. Kultúra'!#REF!</f>
        <v>#REF!</v>
      </c>
      <c r="J137" s="208" t="e">
        <f>'[3]11. Kultúra'!#REF!</f>
        <v>#REF!</v>
      </c>
      <c r="K137" s="210" t="e">
        <f>'[3]11. Kultúra'!#REF!</f>
        <v>#REF!</v>
      </c>
      <c r="L137" s="211" t="e">
        <f t="shared" si="66"/>
        <v>#REF!</v>
      </c>
      <c r="M137" s="208">
        <v>3300</v>
      </c>
      <c r="N137" s="208" t="e">
        <f>'[3]11. Kultúra'!#REF!</f>
        <v>#REF!</v>
      </c>
      <c r="O137" s="210" t="e">
        <f>'[3]11. Kultúra'!#REF!</f>
        <v>#REF!</v>
      </c>
      <c r="P137" s="255">
        <v>3300</v>
      </c>
      <c r="Q137" s="256">
        <v>3300</v>
      </c>
      <c r="R137" s="256">
        <v>0</v>
      </c>
      <c r="S137" s="257">
        <v>0</v>
      </c>
      <c r="T137" s="211" t="e">
        <f t="shared" si="67"/>
        <v>#REF!</v>
      </c>
      <c r="U137" s="208">
        <f>'[3]11. Kultúra'!$H$156</f>
        <v>300</v>
      </c>
      <c r="V137" s="208" t="e">
        <f>'[3]11. Kultúra'!$I$156</f>
        <v>#REF!</v>
      </c>
      <c r="W137" s="210" t="e">
        <f>'[3]11. Kultúra'!$J$156</f>
        <v>#REF!</v>
      </c>
    </row>
    <row r="138" spans="1:23" ht="16.5" thickBot="1" x14ac:dyDescent="0.3">
      <c r="A138" s="84"/>
      <c r="B138" s="227" t="s">
        <v>319</v>
      </c>
      <c r="C138" s="222" t="s">
        <v>320</v>
      </c>
      <c r="D138" s="215" t="e">
        <f t="shared" si="64"/>
        <v>#REF!</v>
      </c>
      <c r="E138" s="216">
        <v>2010</v>
      </c>
      <c r="F138" s="216" t="e">
        <f>'[3]11. Kultúra'!#REF!</f>
        <v>#REF!</v>
      </c>
      <c r="G138" s="240" t="e">
        <f>'[3]11. Kultúra'!#REF!</f>
        <v>#REF!</v>
      </c>
      <c r="H138" s="241" t="e">
        <f t="shared" si="65"/>
        <v>#REF!</v>
      </c>
      <c r="I138" s="242" t="e">
        <f>'[3]11. Kultúra'!#REF!</f>
        <v>#REF!</v>
      </c>
      <c r="J138" s="242" t="e">
        <f>'[3]11. Kultúra'!#REF!</f>
        <v>#REF!</v>
      </c>
      <c r="K138" s="243" t="e">
        <f>'[3]11. Kultúra'!#REF!</f>
        <v>#REF!</v>
      </c>
      <c r="L138" s="224" t="e">
        <f t="shared" si="66"/>
        <v>#REF!</v>
      </c>
      <c r="M138" s="216">
        <v>0</v>
      </c>
      <c r="N138" s="216" t="e">
        <f>'[3]11. Kultúra'!#REF!</f>
        <v>#REF!</v>
      </c>
      <c r="O138" s="244" t="e">
        <f>'[3]11. Kultúra'!#REF!</f>
        <v>#REF!</v>
      </c>
      <c r="P138" s="265">
        <v>0</v>
      </c>
      <c r="Q138" s="266">
        <v>0</v>
      </c>
      <c r="R138" s="266">
        <v>0</v>
      </c>
      <c r="S138" s="283">
        <v>0</v>
      </c>
      <c r="T138" s="224" t="e">
        <f t="shared" si="67"/>
        <v>#REF!</v>
      </c>
      <c r="U138" s="216" t="e">
        <f>'[3]11. Kultúra'!$H$160</f>
        <v>#REF!</v>
      </c>
      <c r="V138" s="216" t="e">
        <f>'[3]11. Kultúra'!$I$160</f>
        <v>#REF!</v>
      </c>
      <c r="W138" s="244" t="e">
        <f>'[3]11. Kultúra'!$J$160</f>
        <v>#REF!</v>
      </c>
    </row>
    <row r="139" spans="1:23" s="82" customFormat="1" ht="14.25" x14ac:dyDescent="0.2">
      <c r="B139" s="189" t="s">
        <v>321</v>
      </c>
      <c r="C139" s="194"/>
      <c r="D139" s="184" t="e">
        <f t="shared" ref="D139:W139" si="68">D140+D145+D146+D147+D148+D149+D150</f>
        <v>#REF!</v>
      </c>
      <c r="E139" s="185" t="e">
        <f t="shared" si="68"/>
        <v>#REF!</v>
      </c>
      <c r="F139" s="185" t="e">
        <f t="shared" si="68"/>
        <v>#REF!</v>
      </c>
      <c r="G139" s="186" t="e">
        <f t="shared" si="68"/>
        <v>#REF!</v>
      </c>
      <c r="H139" s="184">
        <f t="shared" si="68"/>
        <v>246839.97999999998</v>
      </c>
      <c r="I139" s="185">
        <f t="shared" si="68"/>
        <v>225512.97999999998</v>
      </c>
      <c r="J139" s="185">
        <f t="shared" si="68"/>
        <v>21327</v>
      </c>
      <c r="K139" s="187">
        <f t="shared" si="68"/>
        <v>0</v>
      </c>
      <c r="L139" s="188" t="e">
        <f t="shared" si="68"/>
        <v>#REF!</v>
      </c>
      <c r="M139" s="185" t="e">
        <f t="shared" si="68"/>
        <v>#REF!</v>
      </c>
      <c r="N139" s="185" t="e">
        <f t="shared" si="68"/>
        <v>#REF!</v>
      </c>
      <c r="O139" s="187" t="e">
        <f t="shared" si="68"/>
        <v>#REF!</v>
      </c>
      <c r="P139" s="263">
        <v>131301.29999999999</v>
      </c>
      <c r="Q139" s="264">
        <v>131151.29999999999</v>
      </c>
      <c r="R139" s="264">
        <v>150</v>
      </c>
      <c r="S139" s="268">
        <v>0</v>
      </c>
      <c r="T139" s="188">
        <f t="shared" si="68"/>
        <v>2267061</v>
      </c>
      <c r="U139" s="185">
        <f t="shared" si="68"/>
        <v>330282</v>
      </c>
      <c r="V139" s="185">
        <f t="shared" si="68"/>
        <v>1936779</v>
      </c>
      <c r="W139" s="187">
        <f t="shared" si="68"/>
        <v>0</v>
      </c>
    </row>
    <row r="140" spans="1:23" ht="15.75" x14ac:dyDescent="0.25">
      <c r="A140" s="84"/>
      <c r="B140" s="230" t="s">
        <v>322</v>
      </c>
      <c r="C140" s="221" t="s">
        <v>323</v>
      </c>
      <c r="D140" s="207" t="e">
        <f t="shared" ref="D140:W140" si="69">SUM(D141:D144)</f>
        <v>#REF!</v>
      </c>
      <c r="E140" s="208" t="e">
        <f t="shared" si="69"/>
        <v>#REF!</v>
      </c>
      <c r="F140" s="208" t="e">
        <f t="shared" si="69"/>
        <v>#REF!</v>
      </c>
      <c r="G140" s="209" t="e">
        <f t="shared" si="69"/>
        <v>#REF!</v>
      </c>
      <c r="H140" s="207">
        <f t="shared" si="69"/>
        <v>219161.49</v>
      </c>
      <c r="I140" s="208">
        <f t="shared" si="69"/>
        <v>197834.49</v>
      </c>
      <c r="J140" s="208">
        <f t="shared" si="69"/>
        <v>21327</v>
      </c>
      <c r="K140" s="210">
        <f t="shared" si="69"/>
        <v>0</v>
      </c>
      <c r="L140" s="211" t="e">
        <f t="shared" si="69"/>
        <v>#REF!</v>
      </c>
      <c r="M140" s="208" t="e">
        <f t="shared" si="69"/>
        <v>#REF!</v>
      </c>
      <c r="N140" s="208" t="e">
        <f t="shared" si="69"/>
        <v>#REF!</v>
      </c>
      <c r="O140" s="210" t="e">
        <f t="shared" si="69"/>
        <v>#REF!</v>
      </c>
      <c r="P140" s="255">
        <v>98209.15</v>
      </c>
      <c r="Q140" s="256">
        <v>98059.15</v>
      </c>
      <c r="R140" s="256">
        <v>150</v>
      </c>
      <c r="S140" s="257">
        <v>0</v>
      </c>
      <c r="T140" s="211">
        <f t="shared" si="69"/>
        <v>2194431</v>
      </c>
      <c r="U140" s="208">
        <f t="shared" si="69"/>
        <v>273132</v>
      </c>
      <c r="V140" s="208">
        <f t="shared" si="69"/>
        <v>1921299</v>
      </c>
      <c r="W140" s="210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'[3]12. Prostredie pre život'!#REF!</f>
        <v>#REF!</v>
      </c>
      <c r="G141" s="95" t="e">
        <f>'[3]12.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'[3]12. Prostredie pre život'!#REF!</f>
        <v>#REF!</v>
      </c>
      <c r="N141" s="94" t="e">
        <f>'[3]12. Prostredie pre život'!#REF!</f>
        <v>#REF!</v>
      </c>
      <c r="O141" s="96" t="e">
        <f>'[3]12. Prostredie pre život'!#REF!</f>
        <v>#REF!</v>
      </c>
      <c r="P141" s="255">
        <v>94458.92</v>
      </c>
      <c r="Q141" s="258">
        <v>94458.92</v>
      </c>
      <c r="R141" s="258">
        <v>0</v>
      </c>
      <c r="S141" s="259">
        <v>0</v>
      </c>
      <c r="T141" s="97">
        <f t="shared" ref="T141:T150" si="73">SUM(U141:W141)</f>
        <v>117930</v>
      </c>
      <c r="U141" s="94">
        <f>'[3]12. Prostredie pre život'!$H$5</f>
        <v>117930</v>
      </c>
      <c r="V141" s="94">
        <f>'[3]12. Prostredie pre život'!$I$5</f>
        <v>0</v>
      </c>
      <c r="W141" s="96">
        <f>'[3]12.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'[3]12. Prostredie pre život'!#REF!</f>
        <v>#REF!</v>
      </c>
      <c r="F142" s="94" t="e">
        <f>'[3]12. Prostredie pre život'!#REF!</f>
        <v>#REF!</v>
      </c>
      <c r="G142" s="95" t="e">
        <f>'[3]12.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'[3]12. Prostredie pre život'!#REF!</f>
        <v>#REF!</v>
      </c>
      <c r="N142" s="94" t="e">
        <f>'[3]12. Prostredie pre život'!#REF!</f>
        <v>#REF!</v>
      </c>
      <c r="O142" s="96" t="e">
        <f>'[3]12. Prostredie pre život'!#REF!</f>
        <v>#REF!</v>
      </c>
      <c r="P142" s="255">
        <v>0</v>
      </c>
      <c r="Q142" s="258">
        <v>0</v>
      </c>
      <c r="R142" s="258">
        <v>0</v>
      </c>
      <c r="S142" s="259">
        <v>0</v>
      </c>
      <c r="T142" s="97">
        <f t="shared" si="73"/>
        <v>450</v>
      </c>
      <c r="U142" s="94">
        <f>'[3]12. Prostredie pre život'!$H$19</f>
        <v>450</v>
      </c>
      <c r="V142" s="94">
        <f>'[3]12. Prostredie pre život'!$I$19</f>
        <v>0</v>
      </c>
      <c r="W142" s="96">
        <f>'[3]12.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'[3]12.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'[3]12. Prostredie pre život'!#REF!</f>
        <v>#REF!</v>
      </c>
      <c r="O143" s="96" t="e">
        <f>'[3]12. Prostredie pre život'!#REF!</f>
        <v>#REF!</v>
      </c>
      <c r="P143" s="255">
        <v>934.03</v>
      </c>
      <c r="Q143" s="258">
        <v>784.03</v>
      </c>
      <c r="R143" s="258">
        <v>150</v>
      </c>
      <c r="S143" s="259">
        <v>0</v>
      </c>
      <c r="T143" s="97">
        <f t="shared" si="73"/>
        <v>2073201</v>
      </c>
      <c r="U143" s="94">
        <f>'[3]12. Prostredie pre život'!$H$21</f>
        <v>151902</v>
      </c>
      <c r="V143" s="94">
        <f>'[3]12. Prostredie pre život'!$I$21</f>
        <v>1921299</v>
      </c>
      <c r="W143" s="96">
        <f>'[3]12.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'[3]12. Prostredie pre život'!#REF!</f>
        <v>#REF!</v>
      </c>
      <c r="G144" s="95" t="e">
        <f>'[3]12.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'[3]12. Prostredie pre život'!#REF!</f>
        <v>#REF!</v>
      </c>
      <c r="N144" s="94" t="e">
        <f>'[3]12. Prostredie pre život'!#REF!</f>
        <v>#REF!</v>
      </c>
      <c r="O144" s="96" t="e">
        <f>'[3]12. Prostredie pre život'!#REF!</f>
        <v>#REF!</v>
      </c>
      <c r="P144" s="255">
        <v>2816.2</v>
      </c>
      <c r="Q144" s="258">
        <v>2816.2</v>
      </c>
      <c r="R144" s="258">
        <v>0</v>
      </c>
      <c r="S144" s="259">
        <v>0</v>
      </c>
      <c r="T144" s="97">
        <f t="shared" si="73"/>
        <v>2850</v>
      </c>
      <c r="U144" s="94">
        <f>'[3]12. Prostredie pre život'!$H$39</f>
        <v>2850</v>
      </c>
      <c r="V144" s="94">
        <f>'[3]12. Prostredie pre život'!$I$39</f>
        <v>0</v>
      </c>
      <c r="W144" s="96">
        <f>'[3]12. Prostredie pre život'!$J$39</f>
        <v>0</v>
      </c>
    </row>
    <row r="145" spans="1:23" ht="16.5" x14ac:dyDescent="0.3">
      <c r="A145" s="84"/>
      <c r="B145" s="230" t="s">
        <v>328</v>
      </c>
      <c r="C145" s="226" t="s">
        <v>329</v>
      </c>
      <c r="D145" s="207" t="e">
        <f t="shared" si="70"/>
        <v>#REF!</v>
      </c>
      <c r="E145" s="208">
        <v>3182</v>
      </c>
      <c r="F145" s="208" t="e">
        <f>'[3]12. Prostredie pre život'!#REF!</f>
        <v>#REF!</v>
      </c>
      <c r="G145" s="209" t="e">
        <f>'[3]12. Prostredie pre život'!#REF!</f>
        <v>#REF!</v>
      </c>
      <c r="H145" s="207">
        <f t="shared" si="71"/>
        <v>0</v>
      </c>
      <c r="I145" s="208">
        <v>0</v>
      </c>
      <c r="J145" s="208">
        <v>0</v>
      </c>
      <c r="K145" s="210">
        <v>0</v>
      </c>
      <c r="L145" s="211" t="e">
        <f t="shared" si="72"/>
        <v>#REF!</v>
      </c>
      <c r="M145" s="208" t="e">
        <f>'[3]12. Prostredie pre život'!#REF!</f>
        <v>#REF!</v>
      </c>
      <c r="N145" s="208" t="e">
        <f>'[3]12. Prostredie pre život'!#REF!</f>
        <v>#REF!</v>
      </c>
      <c r="O145" s="210" t="e">
        <f>'[3]12. Prostredie pre život'!#REF!</f>
        <v>#REF!</v>
      </c>
      <c r="P145" s="255">
        <v>0</v>
      </c>
      <c r="Q145" s="256">
        <v>0</v>
      </c>
      <c r="R145" s="256">
        <v>0</v>
      </c>
      <c r="S145" s="257">
        <v>0</v>
      </c>
      <c r="T145" s="211">
        <f t="shared" si="73"/>
        <v>1825</v>
      </c>
      <c r="U145" s="208">
        <f>'[3]12. Prostredie pre život'!$H$45</f>
        <v>1825</v>
      </c>
      <c r="V145" s="208">
        <f>'[3]12. Prostredie pre život'!$I$45</f>
        <v>0</v>
      </c>
      <c r="W145" s="210">
        <f>'[3]12. Prostredie pre život'!$J$45</f>
        <v>0</v>
      </c>
    </row>
    <row r="146" spans="1:23" ht="16.5" x14ac:dyDescent="0.3">
      <c r="A146" s="108"/>
      <c r="B146" s="245" t="s">
        <v>330</v>
      </c>
      <c r="C146" s="226" t="s">
        <v>331</v>
      </c>
      <c r="D146" s="207" t="e">
        <f t="shared" si="70"/>
        <v>#REF!</v>
      </c>
      <c r="E146" s="208">
        <v>3711</v>
      </c>
      <c r="F146" s="208" t="e">
        <f>'[3]12. Prostredie pre život'!#REF!</f>
        <v>#REF!</v>
      </c>
      <c r="G146" s="209" t="e">
        <f>'[3]12. Prostredie pre život'!#REF!</f>
        <v>#REF!</v>
      </c>
      <c r="H146" s="207">
        <f t="shared" si="71"/>
        <v>1180</v>
      </c>
      <c r="I146" s="208">
        <v>1180</v>
      </c>
      <c r="J146" s="208">
        <v>0</v>
      </c>
      <c r="K146" s="210">
        <v>0</v>
      </c>
      <c r="L146" s="211" t="e">
        <f t="shared" si="72"/>
        <v>#REF!</v>
      </c>
      <c r="M146" s="208" t="e">
        <f>'[3]12. Prostredie pre život'!#REF!</f>
        <v>#REF!</v>
      </c>
      <c r="N146" s="208" t="e">
        <f>'[3]12. Prostredie pre život'!#REF!</f>
        <v>#REF!</v>
      </c>
      <c r="O146" s="210" t="e">
        <f>'[3]12. Prostredie pre život'!#REF!</f>
        <v>#REF!</v>
      </c>
      <c r="P146" s="255">
        <v>4522.07</v>
      </c>
      <c r="Q146" s="256">
        <v>4522.07</v>
      </c>
      <c r="R146" s="256">
        <v>0</v>
      </c>
      <c r="S146" s="257">
        <v>0</v>
      </c>
      <c r="T146" s="211">
        <f t="shared" si="73"/>
        <v>13840</v>
      </c>
      <c r="U146" s="208">
        <f>'[3]12. Prostredie pre život'!$H$48</f>
        <v>6840</v>
      </c>
      <c r="V146" s="208">
        <f>'[3]12. Prostredie pre život'!$I$48</f>
        <v>7000</v>
      </c>
      <c r="W146" s="210">
        <f>'[3]12. Prostredie pre život'!$J$48</f>
        <v>0</v>
      </c>
    </row>
    <row r="147" spans="1:23" ht="16.5" x14ac:dyDescent="0.3">
      <c r="A147" s="108"/>
      <c r="B147" s="245" t="s">
        <v>332</v>
      </c>
      <c r="C147" s="226" t="s">
        <v>333</v>
      </c>
      <c r="D147" s="207" t="e">
        <f t="shared" si="70"/>
        <v>#REF!</v>
      </c>
      <c r="E147" s="208">
        <v>164</v>
      </c>
      <c r="F147" s="208" t="e">
        <f>'[3]12. Prostredie pre život'!#REF!</f>
        <v>#REF!</v>
      </c>
      <c r="G147" s="209" t="e">
        <f>'[3]12. Prostredie pre život'!#REF!</f>
        <v>#REF!</v>
      </c>
      <c r="H147" s="207">
        <f t="shared" si="71"/>
        <v>248</v>
      </c>
      <c r="I147" s="208">
        <v>248</v>
      </c>
      <c r="J147" s="208">
        <v>0</v>
      </c>
      <c r="K147" s="210">
        <v>0</v>
      </c>
      <c r="L147" s="211" t="e">
        <f t="shared" si="72"/>
        <v>#REF!</v>
      </c>
      <c r="M147" s="208" t="e">
        <f>'[3]12. Prostredie pre život'!#REF!</f>
        <v>#REF!</v>
      </c>
      <c r="N147" s="208" t="e">
        <f>'[3]12. Prostredie pre život'!#REF!</f>
        <v>#REF!</v>
      </c>
      <c r="O147" s="210" t="e">
        <f>'[3]12. Prostredie pre život'!#REF!</f>
        <v>#REF!</v>
      </c>
      <c r="P147" s="255">
        <v>77.87</v>
      </c>
      <c r="Q147" s="256">
        <v>77.87</v>
      </c>
      <c r="R147" s="256">
        <v>0</v>
      </c>
      <c r="S147" s="257">
        <v>0</v>
      </c>
      <c r="T147" s="211">
        <f t="shared" si="73"/>
        <v>75</v>
      </c>
      <c r="U147" s="208">
        <f>'[3]12. Prostredie pre život'!$H$60</f>
        <v>75</v>
      </c>
      <c r="V147" s="208">
        <f>'[3]12. Prostredie pre život'!$I$60</f>
        <v>0</v>
      </c>
      <c r="W147" s="210">
        <f>'[3]12. Prostredie pre život'!$J$60</f>
        <v>0</v>
      </c>
    </row>
    <row r="148" spans="1:23" ht="16.5" x14ac:dyDescent="0.3">
      <c r="A148" s="108"/>
      <c r="B148" s="245" t="s">
        <v>334</v>
      </c>
      <c r="C148" s="226" t="s">
        <v>335</v>
      </c>
      <c r="D148" s="207" t="e">
        <f t="shared" si="70"/>
        <v>#REF!</v>
      </c>
      <c r="E148" s="208">
        <v>20655</v>
      </c>
      <c r="F148" s="208" t="e">
        <f>'[3]12. Prostredie pre život'!#REF!</f>
        <v>#REF!</v>
      </c>
      <c r="G148" s="209" t="e">
        <f>'[3]12. Prostredie pre život'!#REF!</f>
        <v>#REF!</v>
      </c>
      <c r="H148" s="207">
        <f t="shared" si="71"/>
        <v>15798</v>
      </c>
      <c r="I148" s="208">
        <v>15798</v>
      </c>
      <c r="J148" s="208">
        <v>0</v>
      </c>
      <c r="K148" s="210">
        <v>0</v>
      </c>
      <c r="L148" s="211" t="e">
        <f t="shared" si="72"/>
        <v>#REF!</v>
      </c>
      <c r="M148" s="208" t="e">
        <f>'[3]12. Prostredie pre život'!#REF!</f>
        <v>#REF!</v>
      </c>
      <c r="N148" s="208" t="e">
        <f>'[3]12. Prostredie pre život'!#REF!</f>
        <v>#REF!</v>
      </c>
      <c r="O148" s="210" t="e">
        <f>'[3]12. Prostredie pre život'!#REF!</f>
        <v>#REF!</v>
      </c>
      <c r="P148" s="255">
        <v>15647.47</v>
      </c>
      <c r="Q148" s="256">
        <v>15647.47</v>
      </c>
      <c r="R148" s="256">
        <v>0</v>
      </c>
      <c r="S148" s="257">
        <v>0</v>
      </c>
      <c r="T148" s="211">
        <f t="shared" si="73"/>
        <v>19460</v>
      </c>
      <c r="U148" s="208">
        <f>'[3]12. Prostredie pre život'!$H$62</f>
        <v>19460</v>
      </c>
      <c r="V148" s="208">
        <f>'[3]12. Prostredie pre život'!$I$62</f>
        <v>0</v>
      </c>
      <c r="W148" s="210">
        <f>'[3]12. Prostredie pre život'!$J$62</f>
        <v>0</v>
      </c>
    </row>
    <row r="149" spans="1:23" ht="16.5" x14ac:dyDescent="0.3">
      <c r="A149" s="108"/>
      <c r="B149" s="246" t="s">
        <v>336</v>
      </c>
      <c r="C149" s="247" t="s">
        <v>337</v>
      </c>
      <c r="D149" s="223" t="e">
        <f t="shared" si="70"/>
        <v>#REF!</v>
      </c>
      <c r="E149" s="218">
        <v>11753.49</v>
      </c>
      <c r="F149" s="248">
        <v>0</v>
      </c>
      <c r="G149" s="249" t="e">
        <f>'[3]12. Prostredie pre život'!#REF!</f>
        <v>#REF!</v>
      </c>
      <c r="H149" s="207">
        <f t="shared" si="71"/>
        <v>10452.49</v>
      </c>
      <c r="I149" s="208">
        <v>10452.49</v>
      </c>
      <c r="J149" s="208">
        <v>0</v>
      </c>
      <c r="K149" s="210">
        <v>0</v>
      </c>
      <c r="L149" s="220" t="e">
        <f t="shared" si="72"/>
        <v>#REF!</v>
      </c>
      <c r="M149" s="218" t="e">
        <f>'[3]12. Prostredie pre život'!#REF!</f>
        <v>#REF!</v>
      </c>
      <c r="N149" s="218" t="e">
        <f>'[3]12. Prostredie pre život'!#REF!</f>
        <v>#REF!</v>
      </c>
      <c r="O149" s="219" t="e">
        <f>'[3]12. Prostredie pre život'!#REF!</f>
        <v>#REF!</v>
      </c>
      <c r="P149" s="260">
        <v>12844.74</v>
      </c>
      <c r="Q149" s="261">
        <v>12844.74</v>
      </c>
      <c r="R149" s="261">
        <v>0</v>
      </c>
      <c r="S149" s="262">
        <v>0</v>
      </c>
      <c r="T149" s="220">
        <f t="shared" si="73"/>
        <v>37430</v>
      </c>
      <c r="U149" s="218">
        <f>'[3]12. Prostredie pre život'!$H$69</f>
        <v>28950</v>
      </c>
      <c r="V149" s="218">
        <f>'[3]12. Prostredie pre život'!$I$69</f>
        <v>8480</v>
      </c>
      <c r="W149" s="219">
        <f>'[3]12. Prostredie pre život'!$J$69</f>
        <v>0</v>
      </c>
    </row>
    <row r="150" spans="1:23" ht="16.5" thickBot="1" x14ac:dyDescent="0.3">
      <c r="A150" s="108"/>
      <c r="B150" s="250" t="s">
        <v>338</v>
      </c>
      <c r="C150" s="222" t="s">
        <v>339</v>
      </c>
      <c r="D150" s="215" t="e">
        <f t="shared" si="70"/>
        <v>#REF!</v>
      </c>
      <c r="E150" s="216">
        <v>4000</v>
      </c>
      <c r="F150" s="216" t="e">
        <f>'[3]12. Prostredie pre život'!#REF!</f>
        <v>#REF!</v>
      </c>
      <c r="G150" s="217" t="e">
        <f>'[3]12. Prostredie pre život'!#REF!</f>
        <v>#REF!</v>
      </c>
      <c r="H150" s="223">
        <f t="shared" si="71"/>
        <v>0</v>
      </c>
      <c r="I150" s="218">
        <v>0</v>
      </c>
      <c r="J150" s="218">
        <v>0</v>
      </c>
      <c r="K150" s="219">
        <v>0</v>
      </c>
      <c r="L150" s="224" t="e">
        <f t="shared" si="72"/>
        <v>#REF!</v>
      </c>
      <c r="M150" s="216" t="e">
        <f>'[3]12. Prostredie pre život'!#REF!</f>
        <v>#REF!</v>
      </c>
      <c r="N150" s="216" t="e">
        <f>'[3]12. Prostredie pre život'!#REF!</f>
        <v>#REF!</v>
      </c>
      <c r="O150" s="225" t="e">
        <f>'[3]12. Prostredie pre život'!#REF!</f>
        <v>#REF!</v>
      </c>
      <c r="P150" s="265">
        <v>0</v>
      </c>
      <c r="Q150" s="266">
        <v>0</v>
      </c>
      <c r="R150" s="266">
        <v>0</v>
      </c>
      <c r="S150" s="267">
        <v>0</v>
      </c>
      <c r="T150" s="224">
        <f t="shared" si="73"/>
        <v>0</v>
      </c>
      <c r="U150" s="216">
        <f>'[3]12. Prostredie pre život'!$H$98</f>
        <v>0</v>
      </c>
      <c r="V150" s="216">
        <f>'[3]12. Prostredie pre život'!$I$98</f>
        <v>0</v>
      </c>
      <c r="W150" s="225">
        <f>'[3]12. Prostredie pre život'!$J$98</f>
        <v>0</v>
      </c>
    </row>
    <row r="151" spans="1:23" s="82" customFormat="1" ht="14.25" x14ac:dyDescent="0.2">
      <c r="A151" s="116"/>
      <c r="B151" s="195" t="s">
        <v>340</v>
      </c>
      <c r="C151" s="196" t="s">
        <v>341</v>
      </c>
      <c r="D151" s="184" t="e">
        <f t="shared" ref="D151:W151" si="74">D152+D156+D161+D165+D169+D170+D171+D173</f>
        <v>#REF!</v>
      </c>
      <c r="E151" s="185">
        <f t="shared" si="74"/>
        <v>478345</v>
      </c>
      <c r="F151" s="185" t="e">
        <f t="shared" si="74"/>
        <v>#REF!</v>
      </c>
      <c r="G151" s="186" t="e">
        <f t="shared" si="74"/>
        <v>#REF!</v>
      </c>
      <c r="H151" s="184" t="e">
        <f t="shared" si="74"/>
        <v>#REF!</v>
      </c>
      <c r="I151" s="185" t="e">
        <f t="shared" si="74"/>
        <v>#REF!</v>
      </c>
      <c r="J151" s="185">
        <f t="shared" si="74"/>
        <v>0</v>
      </c>
      <c r="K151" s="187">
        <f t="shared" si="74"/>
        <v>0</v>
      </c>
      <c r="L151" s="188" t="e">
        <f t="shared" si="74"/>
        <v>#REF!</v>
      </c>
      <c r="M151" s="185" t="e">
        <f t="shared" si="74"/>
        <v>#REF!</v>
      </c>
      <c r="N151" s="185" t="e">
        <f t="shared" si="74"/>
        <v>#REF!</v>
      </c>
      <c r="O151" s="187" t="e">
        <f t="shared" si="74"/>
        <v>#REF!</v>
      </c>
      <c r="P151" s="263">
        <v>568946.19999999995</v>
      </c>
      <c r="Q151" s="264">
        <v>554686.36</v>
      </c>
      <c r="R151" s="264">
        <v>14259.84</v>
      </c>
      <c r="S151" s="268">
        <v>0</v>
      </c>
      <c r="T151" s="188" t="e">
        <f t="shared" si="74"/>
        <v>#REF!</v>
      </c>
      <c r="U151" s="185">
        <f t="shared" si="74"/>
        <v>27768</v>
      </c>
      <c r="V151" s="185" t="e">
        <f t="shared" si="74"/>
        <v>#REF!</v>
      </c>
      <c r="W151" s="187" t="e">
        <f t="shared" si="74"/>
        <v>#REF!</v>
      </c>
    </row>
    <row r="152" spans="1:23" ht="15.75" x14ac:dyDescent="0.25">
      <c r="A152" s="108"/>
      <c r="B152" s="230" t="s">
        <v>342</v>
      </c>
      <c r="C152" s="221" t="s">
        <v>343</v>
      </c>
      <c r="D152" s="207" t="e">
        <f t="shared" ref="D152:W152" si="75">SUM(D153:D155)</f>
        <v>#REF!</v>
      </c>
      <c r="E152" s="208">
        <f t="shared" si="75"/>
        <v>16490</v>
      </c>
      <c r="F152" s="208" t="e">
        <f t="shared" si="75"/>
        <v>#REF!</v>
      </c>
      <c r="G152" s="209" t="e">
        <f t="shared" si="75"/>
        <v>#REF!</v>
      </c>
      <c r="H152" s="207">
        <f t="shared" si="75"/>
        <v>21830</v>
      </c>
      <c r="I152" s="208">
        <f t="shared" si="75"/>
        <v>21830</v>
      </c>
      <c r="J152" s="208">
        <f t="shared" si="75"/>
        <v>0</v>
      </c>
      <c r="K152" s="210">
        <f t="shared" si="75"/>
        <v>0</v>
      </c>
      <c r="L152" s="211" t="e">
        <f t="shared" si="75"/>
        <v>#REF!</v>
      </c>
      <c r="M152" s="208" t="e">
        <f t="shared" si="75"/>
        <v>#REF!</v>
      </c>
      <c r="N152" s="208" t="e">
        <f t="shared" si="75"/>
        <v>#REF!</v>
      </c>
      <c r="O152" s="210" t="e">
        <f t="shared" si="75"/>
        <v>#REF!</v>
      </c>
      <c r="P152" s="255">
        <v>34492.82</v>
      </c>
      <c r="Q152" s="256">
        <v>34492.82</v>
      </c>
      <c r="R152" s="256">
        <v>0</v>
      </c>
      <c r="S152" s="257">
        <v>0</v>
      </c>
      <c r="T152" s="211" t="e">
        <f t="shared" si="75"/>
        <v>#REF!</v>
      </c>
      <c r="U152" s="208">
        <f t="shared" si="75"/>
        <v>2000</v>
      </c>
      <c r="V152" s="208" t="e">
        <f t="shared" si="75"/>
        <v>#REF!</v>
      </c>
      <c r="W152" s="210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'[3]13. Sociálna starostlivosť'!#REF!</f>
        <v>#REF!</v>
      </c>
      <c r="G153" s="95" t="e">
        <f>'[3]13.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'[3]13. Sociálna starostlivosť'!#REF!</f>
        <v>#REF!</v>
      </c>
      <c r="O153" s="96" t="e">
        <f>'[3]13. Sociálna starostlivosť'!#REF!</f>
        <v>#REF!</v>
      </c>
      <c r="P153" s="255">
        <v>15210</v>
      </c>
      <c r="Q153" s="258">
        <v>15210</v>
      </c>
      <c r="R153" s="258">
        <v>0</v>
      </c>
      <c r="S153" s="259">
        <v>0</v>
      </c>
      <c r="T153" s="97" t="e">
        <f>SUM(U153:W153)</f>
        <v>#REF!</v>
      </c>
      <c r="U153" s="94">
        <f>'[3]13. Sociálna starostlivosť'!$H$5</f>
        <v>0</v>
      </c>
      <c r="V153" s="94">
        <f>'[3]13. Sociálna starostlivosť'!$I$5</f>
        <v>0</v>
      </c>
      <c r="W153" s="96" t="e">
        <f>'[3]13.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'[3]13. Sociálna starostlivosť'!#REF!</f>
        <v>#REF!</v>
      </c>
      <c r="G154" s="95" t="e">
        <f>'[3]13.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'[3]13. Sociálna starostlivosť'!#REF!</f>
        <v>#REF!</v>
      </c>
      <c r="O154" s="96" t="e">
        <f>'[3]13. Sociálna starostlivosť'!#REF!</f>
        <v>#REF!</v>
      </c>
      <c r="P154" s="255">
        <v>18000</v>
      </c>
      <c r="Q154" s="258">
        <v>18000</v>
      </c>
      <c r="R154" s="258">
        <v>0</v>
      </c>
      <c r="S154" s="259">
        <v>0</v>
      </c>
      <c r="T154" s="97" t="e">
        <f>SUM(U154:W154)</f>
        <v>#REF!</v>
      </c>
      <c r="U154" s="94">
        <f>'[3]13. Sociálna starostlivosť'!$H$7</f>
        <v>0</v>
      </c>
      <c r="V154" s="94" t="e">
        <f>'[3]13. Sociálna starostlivosť'!$I$7</f>
        <v>#REF!</v>
      </c>
      <c r="W154" s="96" t="e">
        <f>'[3]13.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'[3]13. Sociálna starostlivosť'!#REF!</f>
        <v>#REF!</v>
      </c>
      <c r="G155" s="95" t="e">
        <f>'[3]13.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'[3]13. Sociálna starostlivosť'!#REF!</f>
        <v>#REF!</v>
      </c>
      <c r="N155" s="94" t="e">
        <f>'[3]13. Sociálna starostlivosť'!#REF!</f>
        <v>#REF!</v>
      </c>
      <c r="O155" s="96" t="e">
        <f>'[3]13. Sociálna starostlivosť'!#REF!</f>
        <v>#REF!</v>
      </c>
      <c r="P155" s="255">
        <v>1282.82</v>
      </c>
      <c r="Q155" s="258">
        <v>1282.82</v>
      </c>
      <c r="R155" s="258">
        <v>0</v>
      </c>
      <c r="S155" s="259">
        <v>0</v>
      </c>
      <c r="T155" s="97">
        <f>SUM(U155:W155)</f>
        <v>2000</v>
      </c>
      <c r="U155" s="94">
        <f>'[3]13. Sociálna starostlivosť'!$H$8</f>
        <v>2000</v>
      </c>
      <c r="V155" s="94">
        <f>'[3]13. Sociálna starostlivosť'!$I$8</f>
        <v>0</v>
      </c>
      <c r="W155" s="96">
        <f>'[3]13. Sociálna starostlivosť'!$J$8</f>
        <v>0</v>
      </c>
    </row>
    <row r="156" spans="1:23" ht="15.75" x14ac:dyDescent="0.25">
      <c r="A156" s="116"/>
      <c r="B156" s="230" t="s">
        <v>347</v>
      </c>
      <c r="C156" s="221" t="s">
        <v>348</v>
      </c>
      <c r="D156" s="207" t="e">
        <f t="shared" ref="D156:W156" si="76">SUM(D157:D160)</f>
        <v>#REF!</v>
      </c>
      <c r="E156" s="208">
        <f t="shared" si="76"/>
        <v>174640</v>
      </c>
      <c r="F156" s="208" t="e">
        <f t="shared" si="76"/>
        <v>#REF!</v>
      </c>
      <c r="G156" s="209" t="e">
        <f t="shared" si="76"/>
        <v>#REF!</v>
      </c>
      <c r="H156" s="207">
        <f t="shared" si="76"/>
        <v>284247</v>
      </c>
      <c r="I156" s="208">
        <f t="shared" si="76"/>
        <v>284247</v>
      </c>
      <c r="J156" s="208">
        <f t="shared" si="76"/>
        <v>0</v>
      </c>
      <c r="K156" s="210">
        <f t="shared" si="76"/>
        <v>0</v>
      </c>
      <c r="L156" s="211" t="e">
        <f t="shared" si="76"/>
        <v>#REF!</v>
      </c>
      <c r="M156" s="208" t="e">
        <f t="shared" si="76"/>
        <v>#REF!</v>
      </c>
      <c r="N156" s="208" t="e">
        <f t="shared" si="76"/>
        <v>#REF!</v>
      </c>
      <c r="O156" s="210" t="e">
        <f t="shared" si="76"/>
        <v>#REF!</v>
      </c>
      <c r="P156" s="255">
        <v>326578.67</v>
      </c>
      <c r="Q156" s="256">
        <v>315061.67</v>
      </c>
      <c r="R156" s="256">
        <v>11517</v>
      </c>
      <c r="S156" s="257">
        <v>0</v>
      </c>
      <c r="T156" s="211" t="e">
        <f t="shared" si="76"/>
        <v>#REF!</v>
      </c>
      <c r="U156" s="208">
        <f t="shared" si="76"/>
        <v>7850</v>
      </c>
      <c r="V156" s="208" t="e">
        <f t="shared" si="76"/>
        <v>#REF!</v>
      </c>
      <c r="W156" s="210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'[3]13. Sociálna starostlivosť'!#REF!</f>
        <v>#REF!</v>
      </c>
      <c r="G157" s="95" t="e">
        <f>'[3]13.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'[3]13. Sociálna starostlivosť'!#REF!</f>
        <v>#REF!</v>
      </c>
      <c r="O157" s="96" t="e">
        <f>'[3]13. Sociálna starostlivosť'!#REF!</f>
        <v>#REF!</v>
      </c>
      <c r="P157" s="255">
        <v>237717</v>
      </c>
      <c r="Q157" s="258">
        <v>226200</v>
      </c>
      <c r="R157" s="258">
        <v>11517</v>
      </c>
      <c r="S157" s="259">
        <v>0</v>
      </c>
      <c r="T157" s="97">
        <f>SUM(U157:W157)</f>
        <v>155</v>
      </c>
      <c r="U157" s="94">
        <f>'[3]13. Sociálna starostlivosť'!$H$11</f>
        <v>155</v>
      </c>
      <c r="V157" s="94">
        <f>'[3]13. Sociálna starostlivosť'!$I$11</f>
        <v>0</v>
      </c>
      <c r="W157" s="96">
        <f>'[3]13.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'[3]13. Sociálna starostlivosť'!#REF!</f>
        <v>#REF!</v>
      </c>
      <c r="G158" s="95" t="e">
        <f>'[3]13.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'[3]13. Sociálna starostlivosť'!#REF!</f>
        <v>#REF!</v>
      </c>
      <c r="O158" s="96" t="e">
        <f>'[3]13. Sociálna starostlivosť'!#REF!</f>
        <v>#REF!</v>
      </c>
      <c r="P158" s="255">
        <v>52150</v>
      </c>
      <c r="Q158" s="258">
        <v>52150</v>
      </c>
      <c r="R158" s="258">
        <v>0</v>
      </c>
      <c r="S158" s="259">
        <v>0</v>
      </c>
      <c r="T158" s="97" t="e">
        <f>SUM(U158:W158)</f>
        <v>#REF!</v>
      </c>
      <c r="U158" s="94">
        <f>'[3]13. Sociálna starostlivosť'!$H$17</f>
        <v>0</v>
      </c>
      <c r="V158" s="94" t="e">
        <f>'[3]13. Sociálna starostlivosť'!$I$17</f>
        <v>#REF!</v>
      </c>
      <c r="W158" s="96" t="e">
        <f>'[3]13.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'[3]13. Sociálna starostlivosť'!#REF!</f>
        <v>#REF!</v>
      </c>
      <c r="G159" s="95" t="e">
        <f>'[3]13.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'[3]13. Sociálna starostlivosť'!#REF!</f>
        <v>#REF!</v>
      </c>
      <c r="N159" s="94" t="e">
        <f>'[3]13. Sociálna starostlivosť'!#REF!</f>
        <v>#REF!</v>
      </c>
      <c r="O159" s="96" t="e">
        <f>'[3]13. Sociálna starostlivosť'!#REF!</f>
        <v>#REF!</v>
      </c>
      <c r="P159" s="255">
        <v>10011.67</v>
      </c>
      <c r="Q159" s="258">
        <v>10011.67</v>
      </c>
      <c r="R159" s="258">
        <v>0</v>
      </c>
      <c r="S159" s="259">
        <v>0</v>
      </c>
      <c r="T159" s="97">
        <f>SUM(U159:W159)</f>
        <v>7695</v>
      </c>
      <c r="U159" s="94">
        <f>'[3]13. Sociálna starostlivosť'!$H$18</f>
        <v>7695</v>
      </c>
      <c r="V159" s="94">
        <f>'[3]13. Sociálna starostlivosť'!$I$18</f>
        <v>0</v>
      </c>
      <c r="W159" s="96">
        <f>'[3]13.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'[3]13. Sociálna starostlivosť'!#REF!</f>
        <v>#REF!</v>
      </c>
      <c r="G160" s="95" t="e">
        <f>'[3]13.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'[3]13. Sociálna starostlivosť'!#REF!</f>
        <v>#REF!</v>
      </c>
      <c r="O160" s="96" t="e">
        <f>'[3]13. Sociálna starostlivosť'!#REF!</f>
        <v>#REF!</v>
      </c>
      <c r="P160" s="255">
        <v>26700</v>
      </c>
      <c r="Q160" s="258">
        <v>26700</v>
      </c>
      <c r="R160" s="258">
        <v>0</v>
      </c>
      <c r="S160" s="259">
        <v>0</v>
      </c>
      <c r="T160" s="97" t="e">
        <f>SUM(U160:W160)</f>
        <v>#REF!</v>
      </c>
      <c r="U160" s="94">
        <f>'[3]13. Sociálna starostlivosť'!$H$20</f>
        <v>0</v>
      </c>
      <c r="V160" s="94" t="e">
        <f>'[3]13. Sociálna starostlivosť'!$I$20</f>
        <v>#REF!</v>
      </c>
      <c r="W160" s="96" t="e">
        <f>'[3]13. Sociálna starostlivosť'!$J$20</f>
        <v>#REF!</v>
      </c>
    </row>
    <row r="161" spans="1:23" ht="15.75" x14ac:dyDescent="0.25">
      <c r="A161" s="99"/>
      <c r="B161" s="230" t="s">
        <v>353</v>
      </c>
      <c r="C161" s="221" t="s">
        <v>354</v>
      </c>
      <c r="D161" s="207" t="e">
        <f t="shared" ref="D161:W161" si="77">SUM(D162:D164)</f>
        <v>#REF!</v>
      </c>
      <c r="E161" s="208">
        <f t="shared" si="77"/>
        <v>198930</v>
      </c>
      <c r="F161" s="208" t="e">
        <f t="shared" si="77"/>
        <v>#REF!</v>
      </c>
      <c r="G161" s="209" t="e">
        <f t="shared" si="77"/>
        <v>#REF!</v>
      </c>
      <c r="H161" s="207">
        <f t="shared" si="77"/>
        <v>167500</v>
      </c>
      <c r="I161" s="208">
        <f t="shared" si="77"/>
        <v>167500</v>
      </c>
      <c r="J161" s="208">
        <f t="shared" si="77"/>
        <v>0</v>
      </c>
      <c r="K161" s="210">
        <f t="shared" si="77"/>
        <v>0</v>
      </c>
      <c r="L161" s="211" t="e">
        <f t="shared" si="77"/>
        <v>#REF!</v>
      </c>
      <c r="M161" s="208">
        <f t="shared" si="77"/>
        <v>158480</v>
      </c>
      <c r="N161" s="208" t="e">
        <f t="shared" si="77"/>
        <v>#REF!</v>
      </c>
      <c r="O161" s="210" t="e">
        <f t="shared" si="77"/>
        <v>#REF!</v>
      </c>
      <c r="P161" s="255">
        <v>161222.84</v>
      </c>
      <c r="Q161" s="256">
        <v>158480</v>
      </c>
      <c r="R161" s="256">
        <v>2742.84</v>
      </c>
      <c r="S161" s="257">
        <v>0</v>
      </c>
      <c r="T161" s="211" t="e">
        <f t="shared" si="77"/>
        <v>#REF!</v>
      </c>
      <c r="U161" s="208">
        <f t="shared" si="77"/>
        <v>0</v>
      </c>
      <c r="V161" s="208" t="e">
        <f t="shared" si="77"/>
        <v>#REF!</v>
      </c>
      <c r="W161" s="210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'[3]13. Sociálna starostlivosť'!#REF!</f>
        <v>#REF!</v>
      </c>
      <c r="G162" s="95" t="e">
        <f>'[3]13.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'[3]13. Sociálna starostlivosť'!#REF!</f>
        <v>#REF!</v>
      </c>
      <c r="O162" s="96" t="e">
        <f>'[3]13. Sociálna starostlivosť'!#REF!</f>
        <v>#REF!</v>
      </c>
      <c r="P162" s="255">
        <v>32570</v>
      </c>
      <c r="Q162" s="258">
        <v>32570</v>
      </c>
      <c r="R162" s="258">
        <v>0</v>
      </c>
      <c r="S162" s="259">
        <v>0</v>
      </c>
      <c r="T162" s="97" t="e">
        <f>SUM(U162:W162)</f>
        <v>#REF!</v>
      </c>
      <c r="U162" s="94">
        <f>'[3]13. Sociálna starostlivosť'!$H$22</f>
        <v>0</v>
      </c>
      <c r="V162" s="94" t="e">
        <f>'[3]13. Sociálna starostlivosť'!$I$22</f>
        <v>#REF!</v>
      </c>
      <c r="W162" s="96" t="e">
        <f>'[3]13.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'[3]13. Sociálna starostlivosť'!#REF!</f>
        <v>#REF!</v>
      </c>
      <c r="G163" s="95" t="e">
        <f>'[3]13.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'[3]13. Sociálna starostlivosť'!#REF!</f>
        <v>#REF!</v>
      </c>
      <c r="O163" s="96" t="e">
        <f>'[3]13. Sociálna starostlivosť'!#REF!</f>
        <v>#REF!</v>
      </c>
      <c r="P163" s="255">
        <v>40310</v>
      </c>
      <c r="Q163" s="258">
        <v>40310</v>
      </c>
      <c r="R163" s="258">
        <v>0</v>
      </c>
      <c r="S163" s="259">
        <v>0</v>
      </c>
      <c r="T163" s="97" t="e">
        <f>SUM(U163:W163)</f>
        <v>#REF!</v>
      </c>
      <c r="U163" s="94">
        <f>'[3]13. Sociálna starostlivosť'!$H$24</f>
        <v>0</v>
      </c>
      <c r="V163" s="94" t="e">
        <f>'[3]13. Sociálna starostlivosť'!$I$24</f>
        <v>#REF!</v>
      </c>
      <c r="W163" s="96" t="e">
        <f>'[3]13.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'[3]13.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'[3]13. Sociálna starostlivosť'!#REF!</f>
        <v>#REF!</v>
      </c>
      <c r="P164" s="255">
        <v>88342.84</v>
      </c>
      <c r="Q164" s="258">
        <v>85600</v>
      </c>
      <c r="R164" s="258">
        <v>2742.84</v>
      </c>
      <c r="S164" s="259">
        <v>0</v>
      </c>
      <c r="T164" s="97">
        <f>SUM(U164:W164)</f>
        <v>2032610</v>
      </c>
      <c r="U164" s="94">
        <f>'[3]13. Sociálna starostlivosť'!$H$25</f>
        <v>0</v>
      </c>
      <c r="V164" s="94">
        <f>'[3]13. Sociálna starostlivosť'!$I$25</f>
        <v>2032610</v>
      </c>
      <c r="W164" s="96">
        <f>'[3]13. Sociálna starostlivosť'!$J$25</f>
        <v>0</v>
      </c>
    </row>
    <row r="165" spans="1:23" ht="15.75" x14ac:dyDescent="0.25">
      <c r="A165" s="84"/>
      <c r="B165" s="230" t="s">
        <v>358</v>
      </c>
      <c r="C165" s="221" t="s">
        <v>359</v>
      </c>
      <c r="D165" s="207" t="e">
        <f t="shared" ref="D165:W165" si="78">SUM(D166:D168)</f>
        <v>#REF!</v>
      </c>
      <c r="E165" s="208">
        <f t="shared" si="78"/>
        <v>34760</v>
      </c>
      <c r="F165" s="208" t="e">
        <f t="shared" si="78"/>
        <v>#REF!</v>
      </c>
      <c r="G165" s="209" t="e">
        <f t="shared" si="78"/>
        <v>#REF!</v>
      </c>
      <c r="H165" s="207">
        <f t="shared" si="78"/>
        <v>28926</v>
      </c>
      <c r="I165" s="208">
        <f t="shared" si="78"/>
        <v>28926</v>
      </c>
      <c r="J165" s="208">
        <f t="shared" si="78"/>
        <v>0</v>
      </c>
      <c r="K165" s="210">
        <f t="shared" si="78"/>
        <v>0</v>
      </c>
      <c r="L165" s="211" t="e">
        <f t="shared" si="78"/>
        <v>#REF!</v>
      </c>
      <c r="M165" s="208" t="e">
        <f t="shared" si="78"/>
        <v>#REF!</v>
      </c>
      <c r="N165" s="208" t="e">
        <f t="shared" si="78"/>
        <v>#REF!</v>
      </c>
      <c r="O165" s="210" t="e">
        <f t="shared" si="78"/>
        <v>#REF!</v>
      </c>
      <c r="P165" s="255">
        <v>25010</v>
      </c>
      <c r="Q165" s="256">
        <v>25010</v>
      </c>
      <c r="R165" s="256">
        <v>0</v>
      </c>
      <c r="S165" s="257">
        <v>0</v>
      </c>
      <c r="T165" s="211" t="e">
        <f t="shared" si="78"/>
        <v>#REF!</v>
      </c>
      <c r="U165" s="208">
        <f t="shared" si="78"/>
        <v>0</v>
      </c>
      <c r="V165" s="208" t="e">
        <f t="shared" si="78"/>
        <v>#REF!</v>
      </c>
      <c r="W165" s="210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'[3]13.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'[3]13. Sociálna starostlivosť'!#REF!</f>
        <v>#REF!</v>
      </c>
      <c r="O166" s="96" t="e">
        <f>'[3]13. Sociálna starostlivosť'!#REF!</f>
        <v>#REF!</v>
      </c>
      <c r="P166" s="255">
        <v>18020</v>
      </c>
      <c r="Q166" s="258">
        <v>18020</v>
      </c>
      <c r="R166" s="258">
        <v>0</v>
      </c>
      <c r="S166" s="259">
        <v>0</v>
      </c>
      <c r="T166" s="97">
        <f>SUM(U166:W166)</f>
        <v>0</v>
      </c>
      <c r="U166" s="94">
        <f>'[3]13. Sociálna starostlivosť'!$H$38</f>
        <v>0</v>
      </c>
      <c r="V166" s="94">
        <f>'[3]13. Sociálna starostlivosť'!$I$38</f>
        <v>0</v>
      </c>
      <c r="W166" s="96">
        <f>'[3]13.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'[3]13. Sociálna starostlivosť'!#REF!</f>
        <v>#REF!</v>
      </c>
      <c r="G167" s="95" t="e">
        <f>'[3]13.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'[3]13. Sociálna starostlivosť'!#REF!</f>
        <v>#REF!</v>
      </c>
      <c r="N167" s="94" t="e">
        <f>'[3]13. Sociálna starostlivosť'!#REF!</f>
        <v>#REF!</v>
      </c>
      <c r="O167" s="96" t="e">
        <f>'[3]13. Sociálna starostlivosť'!#REF!</f>
        <v>#REF!</v>
      </c>
      <c r="P167" s="255">
        <v>0</v>
      </c>
      <c r="Q167" s="258">
        <v>0</v>
      </c>
      <c r="R167" s="258">
        <v>0</v>
      </c>
      <c r="S167" s="259">
        <v>0</v>
      </c>
      <c r="T167" s="97">
        <f>SUM(U167:W167)</f>
        <v>0</v>
      </c>
      <c r="U167" s="94">
        <f>'[3]13. Sociálna starostlivosť'!$H$41</f>
        <v>0</v>
      </c>
      <c r="V167" s="94">
        <f>'[3]13. Sociálna starostlivosť'!$I$41</f>
        <v>0</v>
      </c>
      <c r="W167" s="96">
        <f>'[3]13.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'[3]13. Sociálna starostlivosť'!#REF!</f>
        <v>#REF!</v>
      </c>
      <c r="G168" s="95" t="e">
        <f>'[3]13.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'[3]13. Sociálna starostlivosť'!#REF!</f>
        <v>#REF!</v>
      </c>
      <c r="O168" s="96" t="e">
        <f>'[3]13. Sociálna starostlivosť'!#REF!</f>
        <v>#REF!</v>
      </c>
      <c r="P168" s="255">
        <v>6990</v>
      </c>
      <c r="Q168" s="258">
        <v>6990</v>
      </c>
      <c r="R168" s="258">
        <v>0</v>
      </c>
      <c r="S168" s="259">
        <v>0</v>
      </c>
      <c r="T168" s="97" t="e">
        <f>SUM(U168:W168)</f>
        <v>#REF!</v>
      </c>
      <c r="U168" s="94">
        <f>'[3]13. Sociálna starostlivosť'!$H$43</f>
        <v>0</v>
      </c>
      <c r="V168" s="94" t="e">
        <f>'[3]13. Sociálna starostlivosť'!$I$43</f>
        <v>#REF!</v>
      </c>
      <c r="W168" s="96" t="e">
        <f>'[3]13. Sociálna starostlivosť'!$J$43</f>
        <v>#REF!</v>
      </c>
    </row>
    <row r="169" spans="1:23" ht="15.75" x14ac:dyDescent="0.25">
      <c r="A169" s="84"/>
      <c r="B169" s="230" t="s">
        <v>363</v>
      </c>
      <c r="C169" s="221" t="s">
        <v>364</v>
      </c>
      <c r="D169" s="207" t="e">
        <f>SUM(E169:G169)</f>
        <v>#REF!</v>
      </c>
      <c r="E169" s="208">
        <v>5720</v>
      </c>
      <c r="F169" s="208" t="e">
        <f>'[3]13. Sociálna starostlivosť'!#REF!</f>
        <v>#REF!</v>
      </c>
      <c r="G169" s="209" t="e">
        <f>'[3]13. Sociálna starostlivosť'!#REF!</f>
        <v>#REF!</v>
      </c>
      <c r="H169" s="207">
        <f>SUM(I169:K169)</f>
        <v>6280</v>
      </c>
      <c r="I169" s="208">
        <v>6280</v>
      </c>
      <c r="J169" s="208">
        <v>0</v>
      </c>
      <c r="K169" s="210">
        <v>0</v>
      </c>
      <c r="L169" s="211" t="e">
        <f>SUM(M169:O169)</f>
        <v>#REF!</v>
      </c>
      <c r="M169" s="208">
        <v>6250</v>
      </c>
      <c r="N169" s="208" t="e">
        <f>'[3]13. Sociálna starostlivosť'!#REF!</f>
        <v>#REF!</v>
      </c>
      <c r="O169" s="210" t="e">
        <f>'[3]13. Sociálna starostlivosť'!#REF!</f>
        <v>#REF!</v>
      </c>
      <c r="P169" s="255">
        <v>6250</v>
      </c>
      <c r="Q169" s="256">
        <v>6250</v>
      </c>
      <c r="R169" s="256">
        <v>0</v>
      </c>
      <c r="S169" s="257">
        <v>0</v>
      </c>
      <c r="T169" s="211" t="e">
        <f>SUM(U169:W169)</f>
        <v>#REF!</v>
      </c>
      <c r="U169" s="208">
        <f>'[3]13. Sociálna starostlivosť'!$H$44</f>
        <v>0</v>
      </c>
      <c r="V169" s="208" t="e">
        <f>'[3]13. Sociálna starostlivosť'!$I$44</f>
        <v>#REF!</v>
      </c>
      <c r="W169" s="210" t="e">
        <f>'[3]13. Sociálna starostlivosť'!$J$44</f>
        <v>#REF!</v>
      </c>
    </row>
    <row r="170" spans="1:23" ht="16.5" x14ac:dyDescent="0.3">
      <c r="A170" s="108"/>
      <c r="B170" s="230" t="s">
        <v>365</v>
      </c>
      <c r="C170" s="226" t="s">
        <v>366</v>
      </c>
      <c r="D170" s="207" t="e">
        <f>SUM(E170:G170)</f>
        <v>#REF!</v>
      </c>
      <c r="E170" s="208">
        <v>11274</v>
      </c>
      <c r="F170" s="208" t="e">
        <f>'[3]13. Sociálna starostlivosť'!#REF!</f>
        <v>#REF!</v>
      </c>
      <c r="G170" s="209" t="e">
        <f>'[3]13. Sociálna starostlivosť'!#REF!</f>
        <v>#REF!</v>
      </c>
      <c r="H170" s="207">
        <f>SUM(I170:K170)</f>
        <v>10658.49</v>
      </c>
      <c r="I170" s="208">
        <v>10658.49</v>
      </c>
      <c r="J170" s="208">
        <v>0</v>
      </c>
      <c r="K170" s="210">
        <v>0</v>
      </c>
      <c r="L170" s="211" t="e">
        <f>SUM(M170:O170)</f>
        <v>#REF!</v>
      </c>
      <c r="M170" s="208" t="e">
        <f>'[3]13. Sociálna starostlivosť'!#REF!</f>
        <v>#REF!</v>
      </c>
      <c r="N170" s="208" t="e">
        <f>'[3]13. Sociálna starostlivosť'!#REF!</f>
        <v>#REF!</v>
      </c>
      <c r="O170" s="210" t="e">
        <f>'[3]13. Sociálna starostlivosť'!#REF!</f>
        <v>#REF!</v>
      </c>
      <c r="P170" s="255">
        <v>10946.4</v>
      </c>
      <c r="Q170" s="256">
        <v>10946.4</v>
      </c>
      <c r="R170" s="256">
        <v>0</v>
      </c>
      <c r="S170" s="257">
        <v>0</v>
      </c>
      <c r="T170" s="211">
        <f>SUM(U170:W170)</f>
        <v>16468</v>
      </c>
      <c r="U170" s="208">
        <f>'[3]13. Sociálna starostlivosť'!$H$45</f>
        <v>16468</v>
      </c>
      <c r="V170" s="208">
        <f>'[3]13. Sociálna starostlivosť'!$I$45</f>
        <v>0</v>
      </c>
      <c r="W170" s="210">
        <f>'[3]13. Sociálna starostlivosť'!$J$45</f>
        <v>0</v>
      </c>
    </row>
    <row r="171" spans="1:23" ht="15.75" x14ac:dyDescent="0.25">
      <c r="A171" s="84"/>
      <c r="B171" s="230" t="s">
        <v>367</v>
      </c>
      <c r="C171" s="221" t="s">
        <v>368</v>
      </c>
      <c r="D171" s="207" t="e">
        <f>SUM(D172:D172)</f>
        <v>#REF!</v>
      </c>
      <c r="E171" s="208">
        <f>SUM(E172:E172)</f>
        <v>35699</v>
      </c>
      <c r="F171" s="208" t="e">
        <f>SUM(F172:F172)</f>
        <v>#REF!</v>
      </c>
      <c r="G171" s="209" t="e">
        <f t="shared" ref="G171:W171" si="79">SUM(G172)</f>
        <v>#REF!</v>
      </c>
      <c r="H171" s="207">
        <f t="shared" si="79"/>
        <v>11959.49</v>
      </c>
      <c r="I171" s="208">
        <f t="shared" si="79"/>
        <v>11959.49</v>
      </c>
      <c r="J171" s="208">
        <f t="shared" si="79"/>
        <v>0</v>
      </c>
      <c r="K171" s="210">
        <f t="shared" si="79"/>
        <v>0</v>
      </c>
      <c r="L171" s="211" t="e">
        <f t="shared" si="79"/>
        <v>#REF!</v>
      </c>
      <c r="M171" s="208" t="e">
        <f t="shared" si="79"/>
        <v>#REF!</v>
      </c>
      <c r="N171" s="208" t="e">
        <f t="shared" si="79"/>
        <v>#REF!</v>
      </c>
      <c r="O171" s="210" t="e">
        <f t="shared" si="79"/>
        <v>#REF!</v>
      </c>
      <c r="P171" s="255">
        <v>4445.47</v>
      </c>
      <c r="Q171" s="256">
        <v>4445.47</v>
      </c>
      <c r="R171" s="256">
        <v>0</v>
      </c>
      <c r="S171" s="257">
        <v>0</v>
      </c>
      <c r="T171" s="211" t="e">
        <f t="shared" si="79"/>
        <v>#REF!</v>
      </c>
      <c r="U171" s="208">
        <f t="shared" si="79"/>
        <v>150</v>
      </c>
      <c r="V171" s="208" t="e">
        <f t="shared" si="79"/>
        <v>#REF!</v>
      </c>
      <c r="W171" s="210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'[3]13. Sociálna starostlivosť'!#REF!</f>
        <v>#REF!</v>
      </c>
      <c r="G172" s="95" t="e">
        <f>'[3]13.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'[3]13. Sociálna starostlivosť'!#REF!</f>
        <v>#REF!</v>
      </c>
      <c r="N172" s="94" t="e">
        <f>'[3]13. Sociálna starostlivosť'!#REF!</f>
        <v>#REF!</v>
      </c>
      <c r="O172" s="96" t="e">
        <f>'[3]13. Sociálna starostlivosť'!#REF!</f>
        <v>#REF!</v>
      </c>
      <c r="P172" s="255">
        <v>4445.47</v>
      </c>
      <c r="Q172" s="258">
        <v>4445.47</v>
      </c>
      <c r="R172" s="258">
        <v>0</v>
      </c>
      <c r="S172" s="259">
        <v>0</v>
      </c>
      <c r="T172" s="97" t="e">
        <f>SUM(U172:W172)</f>
        <v>#REF!</v>
      </c>
      <c r="U172" s="94">
        <f>'[3]13. Sociálna starostlivosť'!$H$54</f>
        <v>150</v>
      </c>
      <c r="V172" s="94" t="e">
        <f>'[3]13. Sociálna starostlivosť'!$I$54</f>
        <v>#REF!</v>
      </c>
      <c r="W172" s="96" t="e">
        <f>'[3]13. Sociálna starostlivosť'!$J$54</f>
        <v>#REF!</v>
      </c>
    </row>
    <row r="173" spans="1:23" ht="17.25" thickBot="1" x14ac:dyDescent="0.35">
      <c r="A173" s="108"/>
      <c r="B173" s="227" t="s">
        <v>370</v>
      </c>
      <c r="C173" s="228" t="s">
        <v>371</v>
      </c>
      <c r="D173" s="215" t="e">
        <f>SUM(E173:G173)</f>
        <v>#REF!</v>
      </c>
      <c r="E173" s="216">
        <v>832</v>
      </c>
      <c r="F173" s="216" t="e">
        <f>'[3]13. Sociálna starostlivosť'!#REF!</f>
        <v>#REF!</v>
      </c>
      <c r="G173" s="217" t="e">
        <f>'[3]13. Sociálna starostlivosť'!#REF!</f>
        <v>#REF!</v>
      </c>
      <c r="H173" s="215" t="e">
        <f>SUM(I173:K173)</f>
        <v>#REF!</v>
      </c>
      <c r="I173" s="216" t="e">
        <f>'[3]13. Sociálna starostlivosť'!#REF!</f>
        <v>#REF!</v>
      </c>
      <c r="J173" s="216">
        <v>0</v>
      </c>
      <c r="K173" s="225">
        <v>0</v>
      </c>
      <c r="L173" s="224" t="e">
        <f>SUM(M173:O173)</f>
        <v>#REF!</v>
      </c>
      <c r="M173" s="216" t="e">
        <f>'[3]13. Sociálna starostlivosť'!#REF!</f>
        <v>#REF!</v>
      </c>
      <c r="N173" s="216" t="e">
        <f>'[3]13. Sociálna starostlivosť'!#REF!</f>
        <v>#REF!</v>
      </c>
      <c r="O173" s="225" t="e">
        <f>'[3]13. Sociálna starostlivosť'!#REF!</f>
        <v>#REF!</v>
      </c>
      <c r="P173" s="265">
        <v>0</v>
      </c>
      <c r="Q173" s="266">
        <v>0</v>
      </c>
      <c r="R173" s="266">
        <v>0</v>
      </c>
      <c r="S173" s="267">
        <v>0</v>
      </c>
      <c r="T173" s="224" t="e">
        <f>SUM(U173:W173)</f>
        <v>#REF!</v>
      </c>
      <c r="U173" s="216">
        <f>'[3]13. Sociálna starostlivosť'!$H$75</f>
        <v>1300</v>
      </c>
      <c r="V173" s="216" t="e">
        <f>'[3]13. Sociálna starostlivosť'!$I$75</f>
        <v>#REF!</v>
      </c>
      <c r="W173" s="225" t="e">
        <f>'[3]13. Sociálna starostlivosť'!$J$75</f>
        <v>#REF!</v>
      </c>
    </row>
    <row r="174" spans="1:23" s="82" customFormat="1" ht="17.25" thickBot="1" x14ac:dyDescent="0.35">
      <c r="A174" s="116"/>
      <c r="B174" s="197" t="s">
        <v>372</v>
      </c>
      <c r="C174" s="198"/>
      <c r="D174" s="199" t="e">
        <f>SUM(E174:G174)</f>
        <v>#REF!</v>
      </c>
      <c r="E174" s="200">
        <v>303254</v>
      </c>
      <c r="F174" s="200" t="e">
        <f>'[3]14. Bývanie'!#REF!</f>
        <v>#REF!</v>
      </c>
      <c r="G174" s="201">
        <v>112360</v>
      </c>
      <c r="H174" s="202">
        <f>SUM(I174:K174)</f>
        <v>423841</v>
      </c>
      <c r="I174" s="203">
        <v>308731</v>
      </c>
      <c r="J174" s="203">
        <v>0</v>
      </c>
      <c r="K174" s="204">
        <v>115110</v>
      </c>
      <c r="L174" s="199" t="e">
        <f>SUM(M174:O174)</f>
        <v>#REF!</v>
      </c>
      <c r="M174" s="200" t="e">
        <f>'[3]14. Bývanie'!#REF!</f>
        <v>#REF!</v>
      </c>
      <c r="N174" s="200" t="e">
        <f>'[3]14. Bývanie'!#REF!</f>
        <v>#REF!</v>
      </c>
      <c r="O174" s="200" t="e">
        <f>'[3]14. Bývanie'!#REF!</f>
        <v>#REF!</v>
      </c>
      <c r="P174" s="284">
        <v>407863.46</v>
      </c>
      <c r="Q174" s="285">
        <v>289949.36</v>
      </c>
      <c r="R174" s="285">
        <v>0</v>
      </c>
      <c r="S174" s="285">
        <v>117914.1</v>
      </c>
      <c r="T174" s="199">
        <f>SUM(U174:W174)</f>
        <v>450923</v>
      </c>
      <c r="U174" s="200">
        <f>'[3]14. Bývanie'!$H$18</f>
        <v>329843</v>
      </c>
      <c r="V174" s="200">
        <f>'[3]14. Bývanie'!$I$18</f>
        <v>0</v>
      </c>
      <c r="W174" s="200">
        <f>'[3]14. Bývanie'!$J$18</f>
        <v>121080</v>
      </c>
    </row>
    <row r="175" spans="1:23" s="82" customFormat="1" ht="14.25" x14ac:dyDescent="0.2">
      <c r="A175" s="116"/>
      <c r="B175" s="189" t="s">
        <v>373</v>
      </c>
      <c r="C175" s="194"/>
      <c r="D175" s="184" t="e">
        <f t="shared" ref="D175:W175" si="80">SUM(D176:D178)</f>
        <v>#REF!</v>
      </c>
      <c r="E175" s="185" t="e">
        <f t="shared" si="80"/>
        <v>#REF!</v>
      </c>
      <c r="F175" s="185" t="e">
        <f t="shared" si="80"/>
        <v>#REF!</v>
      </c>
      <c r="G175" s="186" t="e">
        <f t="shared" si="80"/>
        <v>#REF!</v>
      </c>
      <c r="H175" s="184" t="e">
        <f t="shared" si="80"/>
        <v>#REF!</v>
      </c>
      <c r="I175" s="185">
        <f t="shared" si="80"/>
        <v>1482459.49</v>
      </c>
      <c r="J175" s="185">
        <f t="shared" si="80"/>
        <v>12620.49</v>
      </c>
      <c r="K175" s="187" t="e">
        <f t="shared" si="80"/>
        <v>#REF!</v>
      </c>
      <c r="L175" s="188" t="e">
        <f t="shared" si="80"/>
        <v>#REF!</v>
      </c>
      <c r="M175" s="185" t="e">
        <f t="shared" si="80"/>
        <v>#REF!</v>
      </c>
      <c r="N175" s="185" t="e">
        <f t="shared" si="80"/>
        <v>#REF!</v>
      </c>
      <c r="O175" s="187" t="e">
        <f t="shared" si="80"/>
        <v>#REF!</v>
      </c>
      <c r="P175" s="263">
        <v>1574450.76</v>
      </c>
      <c r="Q175" s="264">
        <v>1574450.76</v>
      </c>
      <c r="R175" s="264">
        <v>0</v>
      </c>
      <c r="S175" s="268">
        <v>0</v>
      </c>
      <c r="T175" s="188" t="e">
        <f t="shared" si="80"/>
        <v>#REF!</v>
      </c>
      <c r="U175" s="185" t="e">
        <f t="shared" si="80"/>
        <v>#REF!</v>
      </c>
      <c r="V175" s="185" t="e">
        <f t="shared" si="80"/>
        <v>#REF!</v>
      </c>
      <c r="W175" s="187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'[3]15.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'[3]15. Administratíva'!#REF!</f>
        <v>#REF!</v>
      </c>
      <c r="L176" s="97" t="e">
        <f>SUM(M176:O176)</f>
        <v>#REF!</v>
      </c>
      <c r="M176" s="94" t="e">
        <f>'[3]15. Administratíva'!#REF!</f>
        <v>#REF!</v>
      </c>
      <c r="N176" s="94" t="e">
        <f>'[3]15. Administratíva'!#REF!</f>
        <v>#REF!</v>
      </c>
      <c r="O176" s="96" t="e">
        <f>'[3]15. Administratíva'!#REF!</f>
        <v>#REF!</v>
      </c>
      <c r="P176" s="286">
        <v>441956.04</v>
      </c>
      <c r="Q176" s="258">
        <v>441956.04</v>
      </c>
      <c r="R176" s="258">
        <v>0</v>
      </c>
      <c r="S176" s="259">
        <v>0</v>
      </c>
      <c r="T176" s="97" t="e">
        <f>SUM(U176:W176)</f>
        <v>#REF!</v>
      </c>
      <c r="U176" s="94">
        <f>'[3]15. Administratíva'!$H$89</f>
        <v>1343</v>
      </c>
      <c r="V176" s="94" t="e">
        <f>'[3]15. Administratíva'!$I$89</f>
        <v>#REF!</v>
      </c>
      <c r="W176" s="96" t="e">
        <f>'[3]15.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'[3]15. Administratíva'!#REF!</f>
        <v>#REF!</v>
      </c>
      <c r="F177" s="94" t="e">
        <f>'[3]15.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'[3]15. Administratíva'!#REF!</f>
        <v>#REF!</v>
      </c>
      <c r="N177" s="94" t="e">
        <f>'[3]15. Administratíva'!#REF!</f>
        <v>#REF!</v>
      </c>
      <c r="O177" s="96" t="e">
        <f>'[3]15. Administratíva'!#REF!</f>
        <v>#REF!</v>
      </c>
      <c r="P177" s="286">
        <v>0</v>
      </c>
      <c r="Q177" s="258">
        <v>0</v>
      </c>
      <c r="R177" s="258">
        <v>0</v>
      </c>
      <c r="S177" s="259">
        <v>0</v>
      </c>
      <c r="T177" s="97" t="e">
        <f>SUM(U177:W177)</f>
        <v>#REF!</v>
      </c>
      <c r="U177" s="94" t="e">
        <f>'[3]15. Administratíva'!$H$91</f>
        <v>#REF!</v>
      </c>
      <c r="V177" s="94" t="e">
        <f>'[3]15. Administratíva'!$I$91</f>
        <v>#REF!</v>
      </c>
      <c r="W177" s="96" t="e">
        <f>'[3]15.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'[3]15. Administratíva'!#REF!</f>
        <v>#REF!</v>
      </c>
      <c r="G178" s="104" t="e">
        <f>'[3]15.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'[3]15. Administratíva'!#REF!</f>
        <v>#REF!</v>
      </c>
      <c r="O178" s="113" t="e">
        <f>'[3]15. Administratíva'!#REF!</f>
        <v>#REF!</v>
      </c>
      <c r="P178" s="287">
        <v>1132494.72</v>
      </c>
      <c r="Q178" s="273">
        <v>1132494.72</v>
      </c>
      <c r="R178" s="273">
        <v>0</v>
      </c>
      <c r="S178" s="274">
        <v>0</v>
      </c>
      <c r="T178" s="112">
        <f>SUM(U178:W178)</f>
        <v>1303806</v>
      </c>
      <c r="U178" s="103">
        <f>'[1]15. Administratíva'!$Q$4</f>
        <v>1303806</v>
      </c>
      <c r="V178" s="103">
        <f>'[3]15. Administratíva'!$I$4</f>
        <v>0</v>
      </c>
      <c r="W178" s="113">
        <f>'[3]15.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895" t="s">
        <v>393</v>
      </c>
      <c r="B1" s="895"/>
      <c r="C1" s="895"/>
      <c r="D1" s="895"/>
      <c r="E1" s="895"/>
      <c r="F1" s="895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392</v>
      </c>
      <c r="F3" s="127" t="s">
        <v>388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C8" sqref="C8"/>
    </sheetView>
  </sheetViews>
  <sheetFormatPr defaultRowHeight="15.75" x14ac:dyDescent="0.25"/>
  <cols>
    <col min="1" max="1" width="9.140625" style="574"/>
    <col min="2" max="2" width="17.140625" style="574" bestFit="1" customWidth="1"/>
    <col min="3" max="3" width="63.140625" style="574" bestFit="1" customWidth="1"/>
    <col min="4" max="4" width="16.85546875" style="574" bestFit="1" customWidth="1"/>
    <col min="5" max="5" width="14.28515625" style="581" customWidth="1"/>
  </cols>
  <sheetData>
    <row r="1" spans="1:7" ht="21" thickBot="1" x14ac:dyDescent="0.35">
      <c r="A1" s="897" t="s">
        <v>794</v>
      </c>
      <c r="B1" s="897"/>
      <c r="C1" s="897"/>
      <c r="D1" s="897"/>
      <c r="E1" s="897"/>
      <c r="F1" s="560"/>
      <c r="G1" s="560"/>
    </row>
    <row r="2" spans="1:7" s="559" customFormat="1" ht="53.25" customHeight="1" thickBot="1" x14ac:dyDescent="0.3">
      <c r="A2" s="898" t="s">
        <v>583</v>
      </c>
      <c r="B2" s="899"/>
      <c r="C2" s="561" t="s">
        <v>381</v>
      </c>
      <c r="D2" s="562" t="s">
        <v>560</v>
      </c>
      <c r="E2" s="576" t="s">
        <v>654</v>
      </c>
    </row>
    <row r="3" spans="1:7" x14ac:dyDescent="0.25">
      <c r="A3" s="901" t="s">
        <v>477</v>
      </c>
      <c r="B3" s="563" t="s">
        <v>478</v>
      </c>
      <c r="C3" s="564" t="s">
        <v>566</v>
      </c>
      <c r="D3" s="565">
        <v>75000</v>
      </c>
      <c r="E3" s="577">
        <v>68928</v>
      </c>
    </row>
    <row r="4" spans="1:7" x14ac:dyDescent="0.25">
      <c r="A4" s="896"/>
      <c r="B4" s="566" t="s">
        <v>478</v>
      </c>
      <c r="C4" s="567" t="s">
        <v>493</v>
      </c>
      <c r="D4" s="568">
        <v>82813</v>
      </c>
      <c r="E4" s="578">
        <v>67770.17</v>
      </c>
    </row>
    <row r="5" spans="1:7" x14ac:dyDescent="0.25">
      <c r="A5" s="902" t="s">
        <v>479</v>
      </c>
      <c r="B5" s="566" t="s">
        <v>552</v>
      </c>
      <c r="C5" s="567" t="s">
        <v>656</v>
      </c>
      <c r="D5" s="568">
        <v>500</v>
      </c>
      <c r="E5" s="578">
        <v>498</v>
      </c>
    </row>
    <row r="6" spans="1:7" x14ac:dyDescent="0.25">
      <c r="A6" s="903"/>
      <c r="B6" s="566" t="s">
        <v>589</v>
      </c>
      <c r="C6" s="567" t="s">
        <v>657</v>
      </c>
      <c r="D6" s="568">
        <v>3380</v>
      </c>
      <c r="E6" s="578">
        <v>3372</v>
      </c>
    </row>
    <row r="7" spans="1:7" x14ac:dyDescent="0.25">
      <c r="A7" s="903"/>
      <c r="B7" s="566" t="s">
        <v>677</v>
      </c>
      <c r="C7" s="567" t="s">
        <v>678</v>
      </c>
      <c r="D7" s="568">
        <v>2040</v>
      </c>
      <c r="E7" s="578">
        <v>2040</v>
      </c>
    </row>
    <row r="8" spans="1:7" x14ac:dyDescent="0.25">
      <c r="A8" s="903"/>
      <c r="B8" s="566" t="s">
        <v>480</v>
      </c>
      <c r="C8" s="567" t="s">
        <v>534</v>
      </c>
      <c r="D8" s="568">
        <v>70280</v>
      </c>
      <c r="E8" s="578">
        <v>69891.399999999994</v>
      </c>
    </row>
    <row r="9" spans="1:7" x14ac:dyDescent="0.25">
      <c r="A9" s="903"/>
      <c r="B9" s="566" t="s">
        <v>480</v>
      </c>
      <c r="C9" s="567" t="s">
        <v>535</v>
      </c>
      <c r="D9" s="568">
        <v>1940320</v>
      </c>
      <c r="E9" s="578">
        <v>1939224.15</v>
      </c>
    </row>
    <row r="10" spans="1:7" x14ac:dyDescent="0.25">
      <c r="A10" s="903"/>
      <c r="B10" s="566" t="s">
        <v>552</v>
      </c>
      <c r="C10" s="567" t="s">
        <v>646</v>
      </c>
      <c r="D10" s="568">
        <v>39999</v>
      </c>
      <c r="E10" s="578">
        <v>39916.6</v>
      </c>
    </row>
    <row r="11" spans="1:7" x14ac:dyDescent="0.25">
      <c r="A11" s="903"/>
      <c r="B11" s="566" t="s">
        <v>679</v>
      </c>
      <c r="C11" s="567" t="s">
        <v>680</v>
      </c>
      <c r="D11" s="568">
        <v>1</v>
      </c>
      <c r="E11" s="578"/>
    </row>
    <row r="12" spans="1:7" x14ac:dyDescent="0.25">
      <c r="A12" s="901"/>
      <c r="B12" s="566" t="s">
        <v>553</v>
      </c>
      <c r="C12" s="567" t="s">
        <v>584</v>
      </c>
      <c r="D12" s="568">
        <v>68509</v>
      </c>
      <c r="E12" s="578">
        <v>66723.81</v>
      </c>
    </row>
    <row r="13" spans="1:7" x14ac:dyDescent="0.25">
      <c r="A13" s="592"/>
      <c r="B13" s="593" t="s">
        <v>711</v>
      </c>
      <c r="C13" s="567" t="s">
        <v>710</v>
      </c>
      <c r="D13" s="568">
        <v>5100</v>
      </c>
      <c r="E13" s="578"/>
    </row>
    <row r="14" spans="1:7" x14ac:dyDescent="0.25">
      <c r="A14" s="569" t="s">
        <v>579</v>
      </c>
      <c r="B14" s="566" t="s">
        <v>481</v>
      </c>
      <c r="C14" s="567" t="s">
        <v>482</v>
      </c>
      <c r="D14" s="568">
        <v>270447</v>
      </c>
      <c r="E14" s="578">
        <v>269820.08</v>
      </c>
    </row>
    <row r="15" spans="1:7" x14ac:dyDescent="0.25">
      <c r="A15" s="902" t="s">
        <v>523</v>
      </c>
      <c r="B15" s="566" t="s">
        <v>488</v>
      </c>
      <c r="C15" s="567" t="s">
        <v>536</v>
      </c>
      <c r="D15" s="568">
        <v>310130</v>
      </c>
      <c r="E15" s="578">
        <v>310128.13</v>
      </c>
    </row>
    <row r="16" spans="1:7" x14ac:dyDescent="0.25">
      <c r="A16" s="901"/>
      <c r="B16" s="566" t="s">
        <v>672</v>
      </c>
      <c r="C16" s="567" t="s">
        <v>673</v>
      </c>
      <c r="D16" s="568">
        <v>8000</v>
      </c>
      <c r="E16" s="578">
        <v>7939.08</v>
      </c>
    </row>
    <row r="17" spans="1:5" x14ac:dyDescent="0.25">
      <c r="A17" s="896" t="s">
        <v>483</v>
      </c>
      <c r="B17" s="566" t="s">
        <v>484</v>
      </c>
      <c r="C17" s="567" t="s">
        <v>537</v>
      </c>
      <c r="D17" s="568">
        <v>303000</v>
      </c>
      <c r="E17" s="578">
        <v>267388.28999999998</v>
      </c>
    </row>
    <row r="18" spans="1:5" x14ac:dyDescent="0.25">
      <c r="A18" s="896"/>
      <c r="B18" s="566" t="s">
        <v>484</v>
      </c>
      <c r="C18" s="567" t="s">
        <v>538</v>
      </c>
      <c r="D18" s="568">
        <v>30000</v>
      </c>
      <c r="E18" s="578">
        <v>29946.720000000001</v>
      </c>
    </row>
    <row r="19" spans="1:5" x14ac:dyDescent="0.25">
      <c r="A19" s="896"/>
      <c r="B19" s="566" t="s">
        <v>484</v>
      </c>
      <c r="C19" s="567" t="s">
        <v>590</v>
      </c>
      <c r="D19" s="568"/>
      <c r="E19" s="578"/>
    </row>
    <row r="20" spans="1:5" x14ac:dyDescent="0.25">
      <c r="A20" s="896"/>
      <c r="B20" s="566" t="s">
        <v>668</v>
      </c>
      <c r="C20" s="567" t="s">
        <v>667</v>
      </c>
      <c r="D20" s="568">
        <v>1898</v>
      </c>
      <c r="E20" s="578"/>
    </row>
    <row r="21" spans="1:5" x14ac:dyDescent="0.25">
      <c r="A21" s="896"/>
      <c r="B21" s="566" t="s">
        <v>658</v>
      </c>
      <c r="C21" s="567" t="s">
        <v>659</v>
      </c>
      <c r="D21" s="568">
        <v>585</v>
      </c>
      <c r="E21" s="578">
        <v>585</v>
      </c>
    </row>
    <row r="22" spans="1:5" x14ac:dyDescent="0.25">
      <c r="A22" s="896"/>
      <c r="B22" s="566" t="s">
        <v>585</v>
      </c>
      <c r="C22" s="567" t="s">
        <v>567</v>
      </c>
      <c r="D22" s="568">
        <v>863756</v>
      </c>
      <c r="E22" s="578">
        <v>863756.04</v>
      </c>
    </row>
    <row r="23" spans="1:5" x14ac:dyDescent="0.25">
      <c r="A23" s="896" t="s">
        <v>485</v>
      </c>
      <c r="B23" s="566" t="s">
        <v>486</v>
      </c>
      <c r="C23" s="567" t="s">
        <v>568</v>
      </c>
      <c r="D23" s="568">
        <v>7610</v>
      </c>
      <c r="E23" s="578">
        <v>7609.49</v>
      </c>
    </row>
    <row r="24" spans="1:5" x14ac:dyDescent="0.25">
      <c r="A24" s="896"/>
      <c r="B24" s="566" t="s">
        <v>486</v>
      </c>
      <c r="C24" s="567" t="s">
        <v>569</v>
      </c>
      <c r="D24" s="568">
        <v>2565</v>
      </c>
      <c r="E24" s="578">
        <v>2565</v>
      </c>
    </row>
    <row r="25" spans="1:5" x14ac:dyDescent="0.25">
      <c r="A25" s="896"/>
      <c r="B25" s="566" t="s">
        <v>486</v>
      </c>
      <c r="C25" s="567" t="s">
        <v>570</v>
      </c>
      <c r="D25" s="568">
        <v>10000</v>
      </c>
      <c r="E25" s="578">
        <v>10000</v>
      </c>
    </row>
    <row r="26" spans="1:5" x14ac:dyDescent="0.25">
      <c r="A26" s="896"/>
      <c r="B26" s="566" t="s">
        <v>486</v>
      </c>
      <c r="C26" s="567" t="s">
        <v>571</v>
      </c>
      <c r="D26" s="568">
        <v>4300</v>
      </c>
      <c r="E26" s="578">
        <v>4300</v>
      </c>
    </row>
    <row r="27" spans="1:5" x14ac:dyDescent="0.25">
      <c r="A27" s="896"/>
      <c r="B27" s="566" t="s">
        <v>486</v>
      </c>
      <c r="C27" s="567" t="s">
        <v>681</v>
      </c>
      <c r="D27" s="568">
        <v>52867</v>
      </c>
      <c r="E27" s="578">
        <v>52866.01</v>
      </c>
    </row>
    <row r="28" spans="1:5" x14ac:dyDescent="0.25">
      <c r="A28" s="896"/>
      <c r="B28" s="566" t="s">
        <v>486</v>
      </c>
      <c r="C28" s="567" t="s">
        <v>647</v>
      </c>
      <c r="D28" s="568">
        <v>7610</v>
      </c>
      <c r="E28" s="578">
        <v>7609.5</v>
      </c>
    </row>
    <row r="29" spans="1:5" x14ac:dyDescent="0.25">
      <c r="A29" s="896"/>
      <c r="B29" s="566" t="s">
        <v>486</v>
      </c>
      <c r="C29" s="567" t="s">
        <v>709</v>
      </c>
      <c r="D29" s="568">
        <v>80187</v>
      </c>
      <c r="E29" s="578">
        <v>80090.11</v>
      </c>
    </row>
    <row r="30" spans="1:5" x14ac:dyDescent="0.25">
      <c r="A30" s="896"/>
      <c r="B30" s="566" t="s">
        <v>486</v>
      </c>
      <c r="C30" s="567" t="s">
        <v>712</v>
      </c>
      <c r="D30" s="568">
        <v>4880</v>
      </c>
      <c r="E30" s="578"/>
    </row>
    <row r="31" spans="1:5" x14ac:dyDescent="0.25">
      <c r="A31" s="896"/>
      <c r="B31" s="566" t="s">
        <v>486</v>
      </c>
      <c r="C31" s="567" t="s">
        <v>648</v>
      </c>
      <c r="D31" s="568">
        <v>1900</v>
      </c>
      <c r="E31" s="578">
        <v>1843</v>
      </c>
    </row>
    <row r="32" spans="1:5" x14ac:dyDescent="0.25">
      <c r="A32" s="896"/>
      <c r="B32" s="566" t="s">
        <v>486</v>
      </c>
      <c r="C32" s="567" t="s">
        <v>713</v>
      </c>
      <c r="D32" s="568">
        <v>7560</v>
      </c>
      <c r="E32" s="578"/>
    </row>
    <row r="33" spans="1:5" x14ac:dyDescent="0.25">
      <c r="A33" s="896"/>
      <c r="B33" s="566" t="s">
        <v>486</v>
      </c>
      <c r="C33" s="567" t="s">
        <v>539</v>
      </c>
      <c r="D33" s="568">
        <v>94500</v>
      </c>
      <c r="E33" s="578">
        <v>89010.05</v>
      </c>
    </row>
    <row r="34" spans="1:5" x14ac:dyDescent="0.25">
      <c r="A34" s="896"/>
      <c r="B34" s="566"/>
      <c r="C34" s="567" t="s">
        <v>790</v>
      </c>
      <c r="D34" s="568">
        <v>5500</v>
      </c>
      <c r="E34" s="578">
        <v>5500</v>
      </c>
    </row>
    <row r="35" spans="1:5" x14ac:dyDescent="0.25">
      <c r="A35" s="896"/>
      <c r="B35" s="566" t="s">
        <v>486</v>
      </c>
      <c r="C35" s="567" t="s">
        <v>572</v>
      </c>
      <c r="D35" s="568">
        <v>25000</v>
      </c>
      <c r="E35" s="578">
        <v>24924</v>
      </c>
    </row>
    <row r="36" spans="1:5" x14ac:dyDescent="0.25">
      <c r="A36" s="896"/>
      <c r="B36" s="566" t="s">
        <v>486</v>
      </c>
      <c r="C36" s="567" t="s">
        <v>714</v>
      </c>
      <c r="D36" s="568">
        <v>11640</v>
      </c>
      <c r="E36" s="578"/>
    </row>
    <row r="37" spans="1:5" x14ac:dyDescent="0.25">
      <c r="A37" s="896"/>
      <c r="B37" s="566" t="s">
        <v>486</v>
      </c>
      <c r="C37" s="567" t="s">
        <v>715</v>
      </c>
      <c r="D37" s="568">
        <v>6360</v>
      </c>
      <c r="E37" s="578"/>
    </row>
    <row r="38" spans="1:5" x14ac:dyDescent="0.25">
      <c r="A38" s="896"/>
      <c r="B38" s="566" t="s">
        <v>486</v>
      </c>
      <c r="C38" s="567" t="s">
        <v>573</v>
      </c>
      <c r="D38" s="568">
        <v>83000</v>
      </c>
      <c r="E38" s="578">
        <v>75942</v>
      </c>
    </row>
    <row r="39" spans="1:5" x14ac:dyDescent="0.25">
      <c r="A39" s="896"/>
      <c r="B39" s="566" t="s">
        <v>486</v>
      </c>
      <c r="C39" s="567" t="s">
        <v>580</v>
      </c>
      <c r="D39" s="568"/>
      <c r="E39" s="578"/>
    </row>
    <row r="40" spans="1:5" x14ac:dyDescent="0.25">
      <c r="A40" s="902" t="s">
        <v>494</v>
      </c>
      <c r="B40" s="566" t="s">
        <v>582</v>
      </c>
      <c r="C40" s="567" t="s">
        <v>705</v>
      </c>
      <c r="D40" s="568">
        <v>16285</v>
      </c>
      <c r="E40" s="578">
        <v>15000</v>
      </c>
    </row>
    <row r="41" spans="1:5" x14ac:dyDescent="0.25">
      <c r="A41" s="903"/>
      <c r="B41" s="566" t="s">
        <v>582</v>
      </c>
      <c r="C41" s="567" t="s">
        <v>581</v>
      </c>
      <c r="D41" s="568"/>
      <c r="E41" s="578"/>
    </row>
    <row r="42" spans="1:5" x14ac:dyDescent="0.25">
      <c r="A42" s="903"/>
      <c r="B42" s="566" t="s">
        <v>682</v>
      </c>
      <c r="C42" s="567" t="s">
        <v>683</v>
      </c>
      <c r="D42" s="568">
        <v>12500</v>
      </c>
      <c r="E42" s="578">
        <v>12488</v>
      </c>
    </row>
    <row r="43" spans="1:5" x14ac:dyDescent="0.25">
      <c r="A43" s="903"/>
      <c r="B43" s="566" t="s">
        <v>495</v>
      </c>
      <c r="C43" s="567" t="s">
        <v>487</v>
      </c>
      <c r="D43" s="568"/>
      <c r="E43" s="578"/>
    </row>
    <row r="44" spans="1:5" x14ac:dyDescent="0.25">
      <c r="A44" s="903"/>
      <c r="B44" s="566" t="s">
        <v>495</v>
      </c>
      <c r="C44" s="567" t="s">
        <v>540</v>
      </c>
      <c r="D44" s="568"/>
      <c r="E44" s="578"/>
    </row>
    <row r="45" spans="1:5" x14ac:dyDescent="0.25">
      <c r="A45" s="901"/>
      <c r="B45" s="566" t="s">
        <v>541</v>
      </c>
      <c r="C45" s="567" t="s">
        <v>586</v>
      </c>
      <c r="D45" s="568"/>
      <c r="E45" s="578"/>
    </row>
    <row r="46" spans="1:5" x14ac:dyDescent="0.25">
      <c r="A46" s="587" t="s">
        <v>702</v>
      </c>
      <c r="B46" s="566" t="s">
        <v>541</v>
      </c>
      <c r="C46" s="567" t="s">
        <v>542</v>
      </c>
      <c r="D46" s="568">
        <v>180000</v>
      </c>
      <c r="E46" s="578">
        <v>178445.47</v>
      </c>
    </row>
    <row r="47" spans="1:5" x14ac:dyDescent="0.25">
      <c r="A47" s="896" t="s">
        <v>489</v>
      </c>
      <c r="B47" s="566" t="s">
        <v>488</v>
      </c>
      <c r="C47" s="567" t="s">
        <v>649</v>
      </c>
      <c r="D47" s="568">
        <v>501600</v>
      </c>
      <c r="E47" s="578"/>
    </row>
    <row r="48" spans="1:5" x14ac:dyDescent="0.25">
      <c r="A48" s="896"/>
      <c r="B48" s="566" t="s">
        <v>488</v>
      </c>
      <c r="C48" s="567" t="s">
        <v>543</v>
      </c>
      <c r="D48" s="568">
        <v>10000</v>
      </c>
      <c r="E48" s="578">
        <v>7323</v>
      </c>
    </row>
    <row r="49" spans="1:5" x14ac:dyDescent="0.25">
      <c r="A49" s="896"/>
      <c r="B49" s="566" t="s">
        <v>488</v>
      </c>
      <c r="C49" s="567" t="s">
        <v>587</v>
      </c>
      <c r="D49" s="568">
        <v>0</v>
      </c>
      <c r="E49" s="578"/>
    </row>
    <row r="50" spans="1:5" x14ac:dyDescent="0.25">
      <c r="A50" s="896"/>
      <c r="B50" s="566" t="s">
        <v>488</v>
      </c>
      <c r="C50" s="567" t="s">
        <v>699</v>
      </c>
      <c r="D50" s="568">
        <v>35000</v>
      </c>
      <c r="E50" s="578">
        <v>21229.94</v>
      </c>
    </row>
    <row r="51" spans="1:5" x14ac:dyDescent="0.25">
      <c r="A51" s="896"/>
      <c r="B51" s="566" t="s">
        <v>700</v>
      </c>
      <c r="C51" s="567" t="s">
        <v>701</v>
      </c>
      <c r="D51" s="568">
        <v>41400</v>
      </c>
      <c r="E51" s="578"/>
    </row>
    <row r="52" spans="1:5" x14ac:dyDescent="0.25">
      <c r="A52" s="896"/>
      <c r="B52" s="566" t="s">
        <v>660</v>
      </c>
      <c r="C52" s="567" t="s">
        <v>663</v>
      </c>
      <c r="D52" s="568">
        <v>0</v>
      </c>
      <c r="E52" s="578"/>
    </row>
    <row r="53" spans="1:5" x14ac:dyDescent="0.25">
      <c r="A53" s="896"/>
      <c r="B53" s="566" t="s">
        <v>661</v>
      </c>
      <c r="C53" s="567" t="s">
        <v>664</v>
      </c>
      <c r="D53" s="568">
        <v>0</v>
      </c>
      <c r="E53" s="578"/>
    </row>
    <row r="54" spans="1:5" x14ac:dyDescent="0.25">
      <c r="A54" s="896"/>
      <c r="B54" s="566" t="s">
        <v>665</v>
      </c>
      <c r="C54" s="567" t="s">
        <v>662</v>
      </c>
      <c r="D54" s="568">
        <v>16096</v>
      </c>
      <c r="E54" s="578">
        <v>16095.23</v>
      </c>
    </row>
    <row r="55" spans="1:5" x14ac:dyDescent="0.25">
      <c r="A55" s="896"/>
      <c r="B55" s="566" t="s">
        <v>588</v>
      </c>
      <c r="C55" s="567" t="s">
        <v>695</v>
      </c>
      <c r="D55" s="568">
        <v>20000</v>
      </c>
      <c r="E55" s="578">
        <v>20000</v>
      </c>
    </row>
    <row r="56" spans="1:5" x14ac:dyDescent="0.25">
      <c r="A56" s="896"/>
      <c r="B56" s="566" t="s">
        <v>588</v>
      </c>
      <c r="C56" s="567" t="s">
        <v>789</v>
      </c>
      <c r="D56" s="568">
        <v>21423</v>
      </c>
      <c r="E56" s="578">
        <v>21423</v>
      </c>
    </row>
    <row r="57" spans="1:5" x14ac:dyDescent="0.25">
      <c r="A57" s="896"/>
      <c r="B57" s="566" t="s">
        <v>665</v>
      </c>
      <c r="C57" s="567" t="s">
        <v>666</v>
      </c>
      <c r="D57" s="568">
        <v>0</v>
      </c>
      <c r="E57" s="578"/>
    </row>
    <row r="58" spans="1:5" x14ac:dyDescent="0.25">
      <c r="A58" s="896"/>
      <c r="B58" s="566" t="s">
        <v>488</v>
      </c>
      <c r="C58" s="567" t="s">
        <v>428</v>
      </c>
      <c r="D58" s="568">
        <v>5000</v>
      </c>
      <c r="E58" s="578">
        <v>5000</v>
      </c>
    </row>
    <row r="59" spans="1:5" x14ac:dyDescent="0.25">
      <c r="A59" s="902" t="s">
        <v>696</v>
      </c>
      <c r="B59" s="566" t="s">
        <v>697</v>
      </c>
      <c r="C59" s="567" t="s">
        <v>698</v>
      </c>
      <c r="D59" s="568">
        <v>18425</v>
      </c>
      <c r="E59" s="578">
        <v>18254</v>
      </c>
    </row>
    <row r="60" spans="1:5" x14ac:dyDescent="0.25">
      <c r="A60" s="901"/>
      <c r="B60" s="566" t="s">
        <v>703</v>
      </c>
      <c r="C60" s="567" t="s">
        <v>704</v>
      </c>
      <c r="D60" s="568">
        <v>11000</v>
      </c>
      <c r="E60" s="578">
        <v>11000</v>
      </c>
    </row>
    <row r="61" spans="1:5" x14ac:dyDescent="0.25">
      <c r="A61" s="896" t="s">
        <v>499</v>
      </c>
      <c r="B61" s="566" t="s">
        <v>500</v>
      </c>
      <c r="C61" s="567" t="s">
        <v>544</v>
      </c>
      <c r="D61" s="568"/>
      <c r="E61" s="578"/>
    </row>
    <row r="62" spans="1:5" x14ac:dyDescent="0.25">
      <c r="A62" s="896"/>
      <c r="B62" s="566" t="s">
        <v>500</v>
      </c>
      <c r="C62" s="567" t="s">
        <v>650</v>
      </c>
      <c r="D62" s="568">
        <v>1514000</v>
      </c>
      <c r="E62" s="578">
        <v>1514000</v>
      </c>
    </row>
    <row r="63" spans="1:5" x14ac:dyDescent="0.25">
      <c r="A63" s="896"/>
      <c r="B63" s="566" t="s">
        <v>500</v>
      </c>
      <c r="C63" s="567" t="s">
        <v>545</v>
      </c>
      <c r="D63" s="568"/>
      <c r="E63" s="578"/>
    </row>
    <row r="64" spans="1:5" x14ac:dyDescent="0.25">
      <c r="A64" s="896"/>
      <c r="B64" s="566" t="s">
        <v>500</v>
      </c>
      <c r="C64" s="567" t="s">
        <v>501</v>
      </c>
      <c r="D64" s="568"/>
      <c r="E64" s="578"/>
    </row>
    <row r="65" spans="1:5" x14ac:dyDescent="0.25">
      <c r="A65" s="902" t="s">
        <v>490</v>
      </c>
      <c r="B65" s="570" t="s">
        <v>716</v>
      </c>
      <c r="C65" s="571" t="s">
        <v>717</v>
      </c>
      <c r="D65" s="572">
        <v>31500</v>
      </c>
      <c r="E65" s="579">
        <v>31500</v>
      </c>
    </row>
    <row r="66" spans="1:5" ht="16.5" thickBot="1" x14ac:dyDescent="0.3">
      <c r="A66" s="904"/>
      <c r="B66" s="570" t="s">
        <v>480</v>
      </c>
      <c r="C66" s="571" t="s">
        <v>491</v>
      </c>
      <c r="D66" s="572">
        <v>18064</v>
      </c>
      <c r="E66" s="579"/>
    </row>
    <row r="67" spans="1:5" s="446" customFormat="1" ht="16.5" thickBot="1" x14ac:dyDescent="0.3">
      <c r="A67" s="898" t="s">
        <v>492</v>
      </c>
      <c r="B67" s="900"/>
      <c r="C67" s="899"/>
      <c r="D67" s="573">
        <f>SUM(D3:D66)</f>
        <v>6933530</v>
      </c>
      <c r="E67" s="580">
        <f>SUM(E3:E66)</f>
        <v>6241945.2700000005</v>
      </c>
    </row>
    <row r="68" spans="1:5" x14ac:dyDescent="0.25">
      <c r="D68" s="575"/>
    </row>
  </sheetData>
  <mergeCells count="13">
    <mergeCell ref="A61:A64"/>
    <mergeCell ref="A1:E1"/>
    <mergeCell ref="A2:B2"/>
    <mergeCell ref="A67:C67"/>
    <mergeCell ref="A3:A4"/>
    <mergeCell ref="A17:A22"/>
    <mergeCell ref="A23:A39"/>
    <mergeCell ref="A47:A58"/>
    <mergeCell ref="A5:A12"/>
    <mergeCell ref="A15:A16"/>
    <mergeCell ref="A40:A45"/>
    <mergeCell ref="A59:A60"/>
    <mergeCell ref="A65:A66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G9" sqref="G9:G10"/>
    </sheetView>
  </sheetViews>
  <sheetFormatPr defaultRowHeight="15" x14ac:dyDescent="0.25"/>
  <cols>
    <col min="1" max="1" width="5.85546875" customWidth="1"/>
    <col min="2" max="2" width="18.7109375" customWidth="1"/>
    <col min="3" max="3" width="15" customWidth="1"/>
    <col min="4" max="5" width="13" customWidth="1"/>
    <col min="6" max="7" width="18.7109375" customWidth="1"/>
    <col min="8" max="8" width="9.140625" customWidth="1"/>
    <col min="9" max="9" width="19.7109375" customWidth="1"/>
    <col min="10" max="10" width="21.7109375" customWidth="1"/>
    <col min="11" max="12" width="19.5703125" customWidth="1"/>
  </cols>
  <sheetData>
    <row r="1" spans="1:12" ht="20.25" x14ac:dyDescent="0.3">
      <c r="A1" s="929" t="s">
        <v>749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</row>
    <row r="2" spans="1:12" ht="15.75" thickBot="1" x14ac:dyDescent="0.3"/>
    <row r="3" spans="1:12" x14ac:dyDescent="0.25">
      <c r="A3" s="930" t="s">
        <v>750</v>
      </c>
      <c r="B3" s="933" t="s">
        <v>751</v>
      </c>
      <c r="C3" s="933" t="s">
        <v>752</v>
      </c>
      <c r="D3" s="933" t="s">
        <v>753</v>
      </c>
      <c r="E3" s="936" t="s">
        <v>754</v>
      </c>
      <c r="F3" s="939" t="s">
        <v>755</v>
      </c>
      <c r="G3" s="939" t="s">
        <v>756</v>
      </c>
      <c r="H3" s="942" t="s">
        <v>757</v>
      </c>
      <c r="I3" s="945" t="s">
        <v>758</v>
      </c>
      <c r="J3" s="936" t="s">
        <v>759</v>
      </c>
      <c r="K3" s="950" t="s">
        <v>760</v>
      </c>
      <c r="L3" s="953" t="s">
        <v>761</v>
      </c>
    </row>
    <row r="4" spans="1:12" x14ac:dyDescent="0.25">
      <c r="A4" s="931"/>
      <c r="B4" s="934"/>
      <c r="C4" s="934"/>
      <c r="D4" s="934"/>
      <c r="E4" s="937"/>
      <c r="F4" s="940"/>
      <c r="G4" s="940"/>
      <c r="H4" s="943"/>
      <c r="I4" s="946"/>
      <c r="J4" s="948"/>
      <c r="K4" s="951"/>
      <c r="L4" s="954"/>
    </row>
    <row r="5" spans="1:12" ht="24" customHeight="1" thickBot="1" x14ac:dyDescent="0.3">
      <c r="A5" s="932"/>
      <c r="B5" s="935"/>
      <c r="C5" s="935"/>
      <c r="D5" s="935"/>
      <c r="E5" s="938"/>
      <c r="F5" s="941"/>
      <c r="G5" s="941"/>
      <c r="H5" s="944"/>
      <c r="I5" s="947"/>
      <c r="J5" s="949"/>
      <c r="K5" s="952"/>
      <c r="L5" s="955"/>
    </row>
    <row r="6" spans="1:12" ht="33.75" x14ac:dyDescent="0.25">
      <c r="A6" s="625" t="s">
        <v>477</v>
      </c>
      <c r="B6" s="626" t="s">
        <v>762</v>
      </c>
      <c r="C6" s="626" t="s">
        <v>763</v>
      </c>
      <c r="D6" s="627">
        <v>37354</v>
      </c>
      <c r="E6" s="628" t="s">
        <v>764</v>
      </c>
      <c r="F6" s="629">
        <v>340527.14</v>
      </c>
      <c r="G6" s="629">
        <v>324308.5</v>
      </c>
      <c r="H6" s="630">
        <v>3.9E-2</v>
      </c>
      <c r="I6" s="631" t="s">
        <v>765</v>
      </c>
      <c r="J6" s="632" t="s">
        <v>766</v>
      </c>
      <c r="K6" s="633">
        <v>13242.8</v>
      </c>
      <c r="L6" s="634">
        <v>16218.64</v>
      </c>
    </row>
    <row r="7" spans="1:12" ht="33.75" x14ac:dyDescent="0.25">
      <c r="A7" s="599" t="s">
        <v>767</v>
      </c>
      <c r="B7" s="600" t="s">
        <v>768</v>
      </c>
      <c r="C7" s="600" t="s">
        <v>769</v>
      </c>
      <c r="D7" s="601">
        <v>37365</v>
      </c>
      <c r="E7" s="602" t="s">
        <v>764</v>
      </c>
      <c r="F7" s="603">
        <v>856746.21</v>
      </c>
      <c r="G7" s="603">
        <v>815488.95</v>
      </c>
      <c r="H7" s="604">
        <v>3.9E-2</v>
      </c>
      <c r="I7" s="605" t="s">
        <v>770</v>
      </c>
      <c r="J7" s="606" t="s">
        <v>766</v>
      </c>
      <c r="K7" s="607">
        <v>33309.9</v>
      </c>
      <c r="L7" s="608">
        <v>41257.26</v>
      </c>
    </row>
    <row r="8" spans="1:12" ht="33.75" x14ac:dyDescent="0.25">
      <c r="A8" s="609" t="s">
        <v>479</v>
      </c>
      <c r="B8" s="610" t="s">
        <v>771</v>
      </c>
      <c r="C8" s="610" t="s">
        <v>772</v>
      </c>
      <c r="D8" s="611">
        <v>42740</v>
      </c>
      <c r="E8" s="612" t="s">
        <v>796</v>
      </c>
      <c r="F8" s="603"/>
      <c r="G8" s="603">
        <v>1509453.8</v>
      </c>
      <c r="H8" s="604">
        <v>0.01</v>
      </c>
      <c r="I8" s="605" t="s">
        <v>797</v>
      </c>
      <c r="J8" s="613" t="s">
        <v>798</v>
      </c>
      <c r="K8" s="607">
        <v>3110.28</v>
      </c>
      <c r="L8" s="608">
        <v>4546.2</v>
      </c>
    </row>
    <row r="9" spans="1:12" ht="45" x14ac:dyDescent="0.25">
      <c r="A9" s="609" t="s">
        <v>773</v>
      </c>
      <c r="B9" s="610" t="s">
        <v>774</v>
      </c>
      <c r="C9" s="614" t="s">
        <v>803</v>
      </c>
      <c r="D9" s="615">
        <v>42878</v>
      </c>
      <c r="E9" s="616" t="s">
        <v>799</v>
      </c>
      <c r="F9" s="603">
        <v>3135672.35</v>
      </c>
      <c r="G9" s="603">
        <v>2919420.35</v>
      </c>
      <c r="H9" s="617" t="s">
        <v>800</v>
      </c>
      <c r="I9" s="605" t="s">
        <v>801</v>
      </c>
      <c r="J9" s="618" t="s">
        <v>775</v>
      </c>
      <c r="K9" s="607">
        <v>13927.85</v>
      </c>
      <c r="L9" s="608">
        <v>216252</v>
      </c>
    </row>
    <row r="10" spans="1:12" ht="60.75" thickBot="1" x14ac:dyDescent="0.3">
      <c r="A10" s="599" t="s">
        <v>776</v>
      </c>
      <c r="B10" s="600" t="s">
        <v>777</v>
      </c>
      <c r="C10" s="619" t="s">
        <v>802</v>
      </c>
      <c r="D10" s="601">
        <v>43235</v>
      </c>
      <c r="E10" s="602" t="s">
        <v>799</v>
      </c>
      <c r="F10" s="603"/>
      <c r="G10" s="603">
        <v>708562.13</v>
      </c>
      <c r="H10" s="617" t="s">
        <v>800</v>
      </c>
      <c r="I10" s="605" t="s">
        <v>804</v>
      </c>
      <c r="J10" s="620" t="s">
        <v>805</v>
      </c>
      <c r="K10" s="607">
        <v>399.55</v>
      </c>
      <c r="L10" s="608">
        <v>0</v>
      </c>
    </row>
    <row r="11" spans="1:12" ht="15.75" thickBot="1" x14ac:dyDescent="0.3">
      <c r="A11" s="927" t="s">
        <v>745</v>
      </c>
      <c r="B11" s="928"/>
      <c r="C11" s="928"/>
      <c r="D11" s="928"/>
      <c r="E11" s="928"/>
      <c r="F11" s="621">
        <f>SUM(F6:F10)</f>
        <v>4332945.7</v>
      </c>
      <c r="G11" s="621">
        <f>SUM(G6:G10)</f>
        <v>6277233.7299999995</v>
      </c>
      <c r="H11" s="905"/>
      <c r="I11" s="905"/>
      <c r="J11" s="622"/>
      <c r="K11" s="623">
        <f>SUM(K6:K10)</f>
        <v>63990.38</v>
      </c>
      <c r="L11" s="624">
        <f>SUM(L6:L10)</f>
        <v>278274.09999999998</v>
      </c>
    </row>
    <row r="12" spans="1:12" x14ac:dyDescent="0.25">
      <c r="A12" s="924" t="s">
        <v>778</v>
      </c>
      <c r="B12" s="925"/>
      <c r="C12" s="925"/>
      <c r="D12" s="925"/>
      <c r="E12" s="925"/>
      <c r="F12" s="925"/>
      <c r="G12" s="925"/>
      <c r="H12" s="925"/>
      <c r="I12" s="925"/>
      <c r="J12" s="926"/>
      <c r="K12" s="919">
        <f>G9+G10</f>
        <v>3627982.48</v>
      </c>
      <c r="L12" s="920"/>
    </row>
    <row r="13" spans="1:12" x14ac:dyDescent="0.25">
      <c r="A13" s="916" t="s">
        <v>779</v>
      </c>
      <c r="B13" s="917"/>
      <c r="C13" s="917"/>
      <c r="D13" s="917"/>
      <c r="E13" s="917"/>
      <c r="F13" s="917"/>
      <c r="G13" s="917"/>
      <c r="H13" s="917"/>
      <c r="I13" s="917"/>
      <c r="J13" s="918"/>
      <c r="K13" s="919">
        <f>L11+K11</f>
        <v>342264.48</v>
      </c>
      <c r="L13" s="920"/>
    </row>
    <row r="14" spans="1:12" x14ac:dyDescent="0.25">
      <c r="A14" s="921" t="s">
        <v>780</v>
      </c>
      <c r="B14" s="922"/>
      <c r="C14" s="922"/>
      <c r="D14" s="922"/>
      <c r="E14" s="922"/>
      <c r="F14" s="922"/>
      <c r="G14" s="922"/>
      <c r="H14" s="922"/>
      <c r="I14" s="922"/>
      <c r="J14" s="923"/>
      <c r="K14" s="919">
        <v>15086193.5</v>
      </c>
      <c r="L14" s="920"/>
    </row>
    <row r="15" spans="1:12" x14ac:dyDescent="0.25">
      <c r="A15" s="921" t="s">
        <v>781</v>
      </c>
      <c r="B15" s="922"/>
      <c r="C15" s="922"/>
      <c r="D15" s="922"/>
      <c r="E15" s="922"/>
      <c r="F15" s="922"/>
      <c r="G15" s="922"/>
      <c r="H15" s="922"/>
      <c r="I15" s="922"/>
      <c r="J15" s="923"/>
      <c r="K15" s="919">
        <v>10794537.810000001</v>
      </c>
      <c r="L15" s="920"/>
    </row>
    <row r="16" spans="1:12" ht="18.75" x14ac:dyDescent="0.3">
      <c r="A16" s="906" t="s">
        <v>782</v>
      </c>
      <c r="B16" s="907"/>
      <c r="C16" s="907"/>
      <c r="D16" s="907"/>
      <c r="E16" s="907"/>
      <c r="F16" s="907"/>
      <c r="G16" s="907"/>
      <c r="H16" s="907"/>
      <c r="I16" s="907"/>
      <c r="J16" s="908"/>
      <c r="K16" s="909">
        <f>K12/K14</f>
        <v>0.24048362365231493</v>
      </c>
      <c r="L16" s="910"/>
    </row>
    <row r="17" spans="1:12" ht="19.5" thickBot="1" x14ac:dyDescent="0.35">
      <c r="A17" s="911" t="s">
        <v>783</v>
      </c>
      <c r="B17" s="912"/>
      <c r="C17" s="912"/>
      <c r="D17" s="912"/>
      <c r="E17" s="912"/>
      <c r="F17" s="912"/>
      <c r="G17" s="912"/>
      <c r="H17" s="912"/>
      <c r="I17" s="912"/>
      <c r="J17" s="913"/>
      <c r="K17" s="914">
        <f>K13/K15</f>
        <v>3.1707191732000609E-2</v>
      </c>
      <c r="L17" s="915"/>
    </row>
  </sheetData>
  <mergeCells count="27"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11:I11"/>
    <mergeCell ref="A16:J16"/>
    <mergeCell ref="K16:L16"/>
    <mergeCell ref="A17:J17"/>
    <mergeCell ref="K17:L17"/>
    <mergeCell ref="A13:J13"/>
    <mergeCell ref="K13:L13"/>
    <mergeCell ref="A14:J14"/>
    <mergeCell ref="K14:L14"/>
    <mergeCell ref="A15:J15"/>
    <mergeCell ref="K15:L15"/>
    <mergeCell ref="A12:J12"/>
    <mergeCell ref="K12:L12"/>
    <mergeCell ref="A11:E11"/>
  </mergeCells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workbookViewId="0">
      <selection sqref="A1:T1"/>
    </sheetView>
  </sheetViews>
  <sheetFormatPr defaultRowHeight="15" x14ac:dyDescent="0.25"/>
  <cols>
    <col min="2" max="2" width="23.42578125" bestFit="1" customWidth="1"/>
    <col min="3" max="4" width="11.42578125" bestFit="1" customWidth="1"/>
    <col min="5" max="5" width="11" customWidth="1"/>
    <col min="6" max="7" width="11.140625" customWidth="1"/>
    <col min="8" max="8" width="11" customWidth="1"/>
    <col min="9" max="10" width="11.140625" customWidth="1"/>
    <col min="11" max="11" width="11" customWidth="1"/>
    <col min="12" max="14" width="11.140625" customWidth="1"/>
    <col min="15" max="15" width="9.7109375" customWidth="1"/>
    <col min="16" max="16" width="11" customWidth="1"/>
    <col min="17" max="17" width="9.7109375" customWidth="1"/>
    <col min="18" max="18" width="11" customWidth="1"/>
    <col min="19" max="19" width="11.140625" customWidth="1"/>
    <col min="20" max="20" width="9.7109375" customWidth="1"/>
  </cols>
  <sheetData>
    <row r="1" spans="1:20" s="595" customFormat="1" ht="25.5" customHeight="1" thickBot="1" x14ac:dyDescent="0.35">
      <c r="A1" s="974" t="s">
        <v>795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</row>
    <row r="2" spans="1:20" s="399" customFormat="1" ht="25.5" customHeight="1" thickBot="1" x14ac:dyDescent="0.35">
      <c r="A2" s="976" t="s">
        <v>591</v>
      </c>
      <c r="B2" s="958" t="s">
        <v>784</v>
      </c>
      <c r="C2" s="975" t="s">
        <v>742</v>
      </c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1011" t="s">
        <v>737</v>
      </c>
      <c r="Q2" s="1012"/>
      <c r="R2" s="1012"/>
      <c r="S2" s="1013"/>
      <c r="T2" s="981" t="s">
        <v>785</v>
      </c>
    </row>
    <row r="3" spans="1:20" s="399" customFormat="1" ht="15" customHeight="1" thickBot="1" x14ac:dyDescent="0.25">
      <c r="A3" s="977"/>
      <c r="B3" s="979"/>
      <c r="C3" s="956" t="s">
        <v>378</v>
      </c>
      <c r="D3" s="956"/>
      <c r="E3" s="956"/>
      <c r="F3" s="956"/>
      <c r="G3" s="956"/>
      <c r="H3" s="956"/>
      <c r="I3" s="956"/>
      <c r="J3" s="957"/>
      <c r="K3" s="958" t="s">
        <v>718</v>
      </c>
      <c r="L3" s="961" t="s">
        <v>592</v>
      </c>
      <c r="M3" s="984" t="s">
        <v>747</v>
      </c>
      <c r="N3" s="985"/>
      <c r="O3" s="985"/>
      <c r="P3" s="1014"/>
      <c r="Q3" s="1015"/>
      <c r="R3" s="1015"/>
      <c r="S3" s="1016"/>
      <c r="T3" s="982"/>
    </row>
    <row r="4" spans="1:20" s="399" customFormat="1" ht="15" customHeight="1" x14ac:dyDescent="0.2">
      <c r="A4" s="977"/>
      <c r="B4" s="979"/>
      <c r="C4" s="964" t="s">
        <v>593</v>
      </c>
      <c r="D4" s="964"/>
      <c r="E4" s="965"/>
      <c r="F4" s="969" t="s">
        <v>594</v>
      </c>
      <c r="G4" s="990"/>
      <c r="H4" s="737"/>
      <c r="I4" s="1032" t="s">
        <v>595</v>
      </c>
      <c r="J4" s="738" t="s">
        <v>596</v>
      </c>
      <c r="K4" s="959"/>
      <c r="L4" s="962"/>
      <c r="M4" s="986"/>
      <c r="N4" s="987"/>
      <c r="O4" s="987"/>
      <c r="P4" s="991" t="s">
        <v>599</v>
      </c>
      <c r="Q4" s="994" t="s">
        <v>786</v>
      </c>
      <c r="R4" s="997" t="s">
        <v>741</v>
      </c>
      <c r="S4" s="1027" t="s">
        <v>748</v>
      </c>
      <c r="T4" s="982"/>
    </row>
    <row r="5" spans="1:20" s="399" customFormat="1" ht="15.75" customHeight="1" x14ac:dyDescent="0.2">
      <c r="A5" s="977"/>
      <c r="B5" s="979"/>
      <c r="C5" s="966" t="s">
        <v>398</v>
      </c>
      <c r="D5" s="969" t="s">
        <v>597</v>
      </c>
      <c r="E5" s="970"/>
      <c r="F5" s="971" t="s">
        <v>598</v>
      </c>
      <c r="G5" s="1003" t="s">
        <v>719</v>
      </c>
      <c r="H5" s="1002" t="s">
        <v>740</v>
      </c>
      <c r="I5" s="1033"/>
      <c r="J5" s="1004" t="s">
        <v>600</v>
      </c>
      <c r="K5" s="959"/>
      <c r="L5" s="962"/>
      <c r="M5" s="988"/>
      <c r="N5" s="989"/>
      <c r="O5" s="989"/>
      <c r="P5" s="992"/>
      <c r="Q5" s="995"/>
      <c r="R5" s="998"/>
      <c r="S5" s="1028"/>
      <c r="T5" s="982"/>
    </row>
    <row r="6" spans="1:20" s="399" customFormat="1" ht="21" customHeight="1" x14ac:dyDescent="0.2">
      <c r="A6" s="977"/>
      <c r="B6" s="979"/>
      <c r="C6" s="967"/>
      <c r="D6" s="1007" t="s">
        <v>601</v>
      </c>
      <c r="E6" s="1009" t="s">
        <v>602</v>
      </c>
      <c r="F6" s="972"/>
      <c r="G6" s="1030"/>
      <c r="H6" s="1002"/>
      <c r="I6" s="1033"/>
      <c r="J6" s="1005"/>
      <c r="K6" s="959"/>
      <c r="L6" s="962"/>
      <c r="M6" s="739" t="s">
        <v>135</v>
      </c>
      <c r="N6" s="1000" t="s">
        <v>720</v>
      </c>
      <c r="O6" s="1001"/>
      <c r="P6" s="992"/>
      <c r="Q6" s="995"/>
      <c r="R6" s="998"/>
      <c r="S6" s="1028"/>
      <c r="T6" s="982"/>
    </row>
    <row r="7" spans="1:20" s="399" customFormat="1" ht="15.75" customHeight="1" thickBot="1" x14ac:dyDescent="0.25">
      <c r="A7" s="978"/>
      <c r="B7" s="980"/>
      <c r="C7" s="968"/>
      <c r="D7" s="1008"/>
      <c r="E7" s="1010"/>
      <c r="F7" s="973"/>
      <c r="G7" s="1031"/>
      <c r="H7" s="1003"/>
      <c r="I7" s="1034"/>
      <c r="J7" s="1006"/>
      <c r="K7" s="960"/>
      <c r="L7" s="963"/>
      <c r="M7" s="740" t="s">
        <v>721</v>
      </c>
      <c r="N7" s="741" t="s">
        <v>141</v>
      </c>
      <c r="O7" s="742" t="s">
        <v>142</v>
      </c>
      <c r="P7" s="993"/>
      <c r="Q7" s="996"/>
      <c r="R7" s="999"/>
      <c r="S7" s="1029"/>
      <c r="T7" s="983"/>
    </row>
    <row r="8" spans="1:20" s="636" customFormat="1" ht="15.75" thickBot="1" x14ac:dyDescent="0.3">
      <c r="A8" s="1019" t="s">
        <v>746</v>
      </c>
      <c r="B8" s="1020"/>
      <c r="C8" s="743">
        <f>C10+C18+C25</f>
        <v>3817853.2899999996</v>
      </c>
      <c r="D8" s="744">
        <f>D18</f>
        <v>3558006.9</v>
      </c>
      <c r="E8" s="745">
        <f>E10+E18+E25</f>
        <v>259846.39</v>
      </c>
      <c r="F8" s="743">
        <f>F10+F18+F25+F9</f>
        <v>3246144.35</v>
      </c>
      <c r="G8" s="746">
        <f>G10+G18+G25</f>
        <v>401455.82</v>
      </c>
      <c r="H8" s="747">
        <f>H10+H18</f>
        <v>461499.01</v>
      </c>
      <c r="I8" s="748">
        <f>I10+I18+I25+I45+I9+I29</f>
        <v>7930020.6499999994</v>
      </c>
      <c r="J8" s="749">
        <f>J10+J18+J25</f>
        <v>6800272.9000000004</v>
      </c>
      <c r="K8" s="748">
        <f>K10+K18+K25+K45</f>
        <v>362259.16</v>
      </c>
      <c r="L8" s="748">
        <f>I8+K8</f>
        <v>8292279.8099999996</v>
      </c>
      <c r="M8" s="750">
        <f>N8+O8</f>
        <v>7902232.3200000003</v>
      </c>
      <c r="N8" s="751">
        <f>N10+N18+N25+N29+N44+N46</f>
        <v>7878024.3200000003</v>
      </c>
      <c r="O8" s="751">
        <f>O10+O18+O44</f>
        <v>24208</v>
      </c>
      <c r="P8" s="752">
        <f>P10+P18+P25</f>
        <v>442894.83999999997</v>
      </c>
      <c r="Q8" s="753">
        <f t="shared" ref="Q8:T8" si="0">Q10+Q18+Q25</f>
        <v>22021.59</v>
      </c>
      <c r="R8" s="754">
        <f t="shared" si="0"/>
        <v>458238.46</v>
      </c>
      <c r="S8" s="755">
        <f>S10+S18+S25</f>
        <v>923154.89000000013</v>
      </c>
      <c r="T8" s="756">
        <f t="shared" si="0"/>
        <v>18761.039999999994</v>
      </c>
    </row>
    <row r="9" spans="1:20" s="842" customFormat="1" ht="13.5" thickBot="1" x14ac:dyDescent="0.25">
      <c r="A9" s="757" t="s">
        <v>603</v>
      </c>
      <c r="B9" s="758" t="s">
        <v>604</v>
      </c>
      <c r="C9" s="759"/>
      <c r="D9" s="760"/>
      <c r="E9" s="761"/>
      <c r="F9" s="762">
        <v>3878.35</v>
      </c>
      <c r="G9" s="761"/>
      <c r="H9" s="763"/>
      <c r="I9" s="764">
        <f>SUM(F9:G9)</f>
        <v>3878.35</v>
      </c>
      <c r="J9" s="763"/>
      <c r="K9" s="765"/>
      <c r="L9" s="765">
        <f>I9+K9</f>
        <v>3878.35</v>
      </c>
      <c r="M9" s="766">
        <f>SUM(N9:O9)</f>
        <v>0</v>
      </c>
      <c r="N9" s="767"/>
      <c r="O9" s="767"/>
      <c r="P9" s="1021"/>
      <c r="Q9" s="1022"/>
      <c r="R9" s="1023"/>
      <c r="S9" s="768"/>
      <c r="T9" s="769"/>
    </row>
    <row r="10" spans="1:20" s="842" customFormat="1" ht="13.5" thickBot="1" x14ac:dyDescent="0.25">
      <c r="A10" s="770" t="s">
        <v>605</v>
      </c>
      <c r="B10" s="771" t="s">
        <v>606</v>
      </c>
      <c r="C10" s="772">
        <f>C11+C12+C13+C14+C15+C16+C17</f>
        <v>33609.800000000003</v>
      </c>
      <c r="D10" s="773"/>
      <c r="E10" s="774">
        <f>E11+E12+E13+E14+E15+E16+E17</f>
        <v>33609.800000000003</v>
      </c>
      <c r="F10" s="772">
        <f>F11+F12+F13+F14+F15+F16+F17</f>
        <v>1609811</v>
      </c>
      <c r="G10" s="774">
        <f>G11+G12+G13+G14+G15+G16+G17</f>
        <v>85626.84</v>
      </c>
      <c r="H10" s="775">
        <f>SUM(H11:H17)</f>
        <v>137998.44000000003</v>
      </c>
      <c r="I10" s="776">
        <f t="shared" ref="I10:O10" si="1">I11+I12+I13+I14+I15+I16+I17</f>
        <v>1867046.0800000003</v>
      </c>
      <c r="J10" s="775">
        <f t="shared" si="1"/>
        <v>1609811</v>
      </c>
      <c r="K10" s="776">
        <f t="shared" si="1"/>
        <v>10174.49</v>
      </c>
      <c r="L10" s="776">
        <f>L11+L12+L13+L14+L15+L16+L17</f>
        <v>1877220.57</v>
      </c>
      <c r="M10" s="777">
        <f>M11+M12+M13+M14+M15+M16+M17</f>
        <v>1567376</v>
      </c>
      <c r="N10" s="778">
        <f t="shared" si="1"/>
        <v>1564811</v>
      </c>
      <c r="O10" s="778">
        <f t="shared" si="1"/>
        <v>2565</v>
      </c>
      <c r="P10" s="779">
        <f>SUM(P11:P16)</f>
        <v>91354</v>
      </c>
      <c r="Q10" s="780">
        <f>SUM(Q11:Q16)</f>
        <v>5329.41</v>
      </c>
      <c r="R10" s="781">
        <f>SUM(R11:R16)</f>
        <v>136984.37</v>
      </c>
      <c r="S10" s="782">
        <f>SUM(S11:S16)</f>
        <v>233667.78</v>
      </c>
      <c r="T10" s="783">
        <f>SUM(T11:T16)</f>
        <v>4315.3399999999911</v>
      </c>
    </row>
    <row r="11" spans="1:20" s="654" customFormat="1" ht="12" x14ac:dyDescent="0.2">
      <c r="A11" s="637" t="s">
        <v>607</v>
      </c>
      <c r="B11" s="638" t="s">
        <v>722</v>
      </c>
      <c r="C11" s="639">
        <f>E11</f>
        <v>4231.6000000000004</v>
      </c>
      <c r="D11" s="640"/>
      <c r="E11" s="641">
        <f>4089+126+16.6</f>
        <v>4231.6000000000004</v>
      </c>
      <c r="F11" s="642">
        <f>174155</f>
        <v>174155</v>
      </c>
      <c r="G11" s="641">
        <f>8882</f>
        <v>8882</v>
      </c>
      <c r="H11" s="643">
        <f>1545.5+1336.4+1220.06+1689.88+1852.17+825.35+1451.49+98.35+2036.8+1625.9+1317.35+781.49</f>
        <v>15780.74</v>
      </c>
      <c r="I11" s="644">
        <f>C11+F11+G11+H11</f>
        <v>203049.34</v>
      </c>
      <c r="J11" s="645">
        <f t="shared" ref="J11:J17" si="2">F11</f>
        <v>174155</v>
      </c>
      <c r="K11" s="646"/>
      <c r="L11" s="646">
        <f>I11+K11</f>
        <v>203049.34</v>
      </c>
      <c r="M11" s="647">
        <f>N11+O11</f>
        <v>174155</v>
      </c>
      <c r="N11" s="648">
        <f t="shared" ref="N11:O17" si="3">J11</f>
        <v>174155</v>
      </c>
      <c r="O11" s="648">
        <f t="shared" si="3"/>
        <v>0</v>
      </c>
      <c r="P11" s="649">
        <f>9529.52</f>
        <v>9529.52</v>
      </c>
      <c r="Q11" s="650">
        <v>607.01</v>
      </c>
      <c r="R11" s="651">
        <f>2964.9+707.82+1424.28+1795.53+2017.33+1068.57+436.1+146.53+1254.41+2064.29+1807.75+595.91</f>
        <v>16283.420000000002</v>
      </c>
      <c r="S11" s="652">
        <f>SUM(P11:R11)</f>
        <v>26419.950000000004</v>
      </c>
      <c r="T11" s="653">
        <f t="shared" ref="T11:T16" si="4">Q11+R11-H11</f>
        <v>1109.6900000000005</v>
      </c>
    </row>
    <row r="12" spans="1:20" s="654" customFormat="1" ht="12" x14ac:dyDescent="0.2">
      <c r="A12" s="655" t="s">
        <v>608</v>
      </c>
      <c r="B12" s="656" t="s">
        <v>723</v>
      </c>
      <c r="C12" s="657">
        <f t="shared" ref="C12:C17" si="5">E12</f>
        <v>6418.6</v>
      </c>
      <c r="D12" s="658"/>
      <c r="E12" s="659">
        <f>6012+390+16.6</f>
        <v>6418.6</v>
      </c>
      <c r="F12" s="660">
        <v>312191</v>
      </c>
      <c r="G12" s="659">
        <f>16839</f>
        <v>16839</v>
      </c>
      <c r="H12" s="661">
        <f>3671.9+2000.57+2830.32+3115.83+3172.11+3525.38+1686.93+3678.81+2270.52+2233.86+1492.45</f>
        <v>29678.680000000004</v>
      </c>
      <c r="I12" s="646">
        <f t="shared" ref="I12:I17" si="6">C12+F12+G12+H12</f>
        <v>365127.27999999997</v>
      </c>
      <c r="J12" s="662">
        <f t="shared" si="2"/>
        <v>312191</v>
      </c>
      <c r="K12" s="663"/>
      <c r="L12" s="663">
        <f t="shared" ref="L12:L17" si="7">I12+K12</f>
        <v>365127.27999999997</v>
      </c>
      <c r="M12" s="664">
        <f t="shared" ref="M12:M17" si="8">N12+O12</f>
        <v>312191</v>
      </c>
      <c r="N12" s="665">
        <f t="shared" si="3"/>
        <v>312191</v>
      </c>
      <c r="O12" s="665">
        <f t="shared" si="3"/>
        <v>0</v>
      </c>
      <c r="P12" s="666">
        <f>17414.17</f>
        <v>17414.169999999998</v>
      </c>
      <c r="Q12" s="667">
        <v>727.57</v>
      </c>
      <c r="R12" s="668">
        <f>3324.37+2437.2+2968.48+2624.62+3572.52+2346.06+1648.81+3380.38+2668.91+2434.58+1593.73</f>
        <v>28999.66</v>
      </c>
      <c r="S12" s="652">
        <f t="shared" ref="S12:S16" si="9">SUM(P12:R12)</f>
        <v>47141.399999999994</v>
      </c>
      <c r="T12" s="669">
        <f t="shared" si="4"/>
        <v>48.549999999995634</v>
      </c>
    </row>
    <row r="13" spans="1:20" s="654" customFormat="1" ht="12" x14ac:dyDescent="0.2">
      <c r="A13" s="655" t="s">
        <v>609</v>
      </c>
      <c r="B13" s="656" t="s">
        <v>724</v>
      </c>
      <c r="C13" s="657">
        <f t="shared" si="5"/>
        <v>10235</v>
      </c>
      <c r="D13" s="658"/>
      <c r="E13" s="659">
        <f>9855+380</f>
        <v>10235</v>
      </c>
      <c r="F13" s="660">
        <v>406089</v>
      </c>
      <c r="G13" s="659">
        <f>23334</f>
        <v>23334</v>
      </c>
      <c r="H13" s="654">
        <f>3704.86+3702.07+2473.39+4171.68+4395.57+3307.69+1274.83+4323.4+4524.2+3114.09+2252.91</f>
        <v>37244.69</v>
      </c>
      <c r="I13" s="646">
        <f t="shared" si="6"/>
        <v>476902.69</v>
      </c>
      <c r="J13" s="662">
        <f t="shared" si="2"/>
        <v>406089</v>
      </c>
      <c r="K13" s="663">
        <v>7609.49</v>
      </c>
      <c r="L13" s="663">
        <f>I13+K13</f>
        <v>484512.18</v>
      </c>
      <c r="M13" s="664">
        <f t="shared" si="8"/>
        <v>406089</v>
      </c>
      <c r="N13" s="665">
        <f t="shared" si="3"/>
        <v>406089</v>
      </c>
      <c r="O13" s="665"/>
      <c r="P13" s="666">
        <f>25593.16</f>
        <v>25593.16</v>
      </c>
      <c r="Q13" s="667">
        <v>1148.81</v>
      </c>
      <c r="R13" s="668">
        <f>3128.36+3831.41+3213.39+3342.39+4019.95+4023.75+1465.12+4081.32+4230.21+3548.74+2289.09</f>
        <v>37173.729999999996</v>
      </c>
      <c r="S13" s="652">
        <f t="shared" si="9"/>
        <v>63915.7</v>
      </c>
      <c r="T13" s="669">
        <f t="shared" si="4"/>
        <v>1077.8499999999913</v>
      </c>
    </row>
    <row r="14" spans="1:20" s="654" customFormat="1" ht="12" x14ac:dyDescent="0.2">
      <c r="A14" s="655" t="s">
        <v>610</v>
      </c>
      <c r="B14" s="656" t="s">
        <v>725</v>
      </c>
      <c r="C14" s="657">
        <f t="shared" si="5"/>
        <v>4745</v>
      </c>
      <c r="D14" s="658"/>
      <c r="E14" s="659">
        <f>4745</f>
        <v>4745</v>
      </c>
      <c r="F14" s="660">
        <v>219549</v>
      </c>
      <c r="G14" s="659">
        <f>11701</f>
        <v>11701</v>
      </c>
      <c r="H14" s="661">
        <f>2122.35+991.79+1357.08+2094.63+1992.19+1895.67+874.17+2261.01+1663.33+1609.52+1665.61</f>
        <v>18527.349999999999</v>
      </c>
      <c r="I14" s="646">
        <f t="shared" si="6"/>
        <v>254522.35</v>
      </c>
      <c r="J14" s="662">
        <f t="shared" si="2"/>
        <v>219549</v>
      </c>
      <c r="K14" s="663"/>
      <c r="L14" s="663">
        <f t="shared" si="7"/>
        <v>254522.35</v>
      </c>
      <c r="M14" s="664">
        <f t="shared" si="8"/>
        <v>219549</v>
      </c>
      <c r="N14" s="665">
        <f t="shared" si="3"/>
        <v>219549</v>
      </c>
      <c r="O14" s="665">
        <f t="shared" si="3"/>
        <v>0</v>
      </c>
      <c r="P14" s="666">
        <f>13140.91</f>
        <v>13140.91</v>
      </c>
      <c r="Q14" s="667">
        <v>333.95</v>
      </c>
      <c r="R14" s="668">
        <f>2359.68+1213.96+1917.31+1994.01+2064.37+1199.33+1086.59-704.86+2718.56+2246.19+1707.42+947.4</f>
        <v>18749.96</v>
      </c>
      <c r="S14" s="652">
        <f t="shared" si="9"/>
        <v>32224.82</v>
      </c>
      <c r="T14" s="669">
        <f t="shared" si="4"/>
        <v>556.56000000000131</v>
      </c>
    </row>
    <row r="15" spans="1:20" s="654" customFormat="1" ht="12" x14ac:dyDescent="0.2">
      <c r="A15" s="655" t="s">
        <v>611</v>
      </c>
      <c r="B15" s="656" t="s">
        <v>726</v>
      </c>
      <c r="C15" s="657">
        <f t="shared" si="5"/>
        <v>4248</v>
      </c>
      <c r="D15" s="658"/>
      <c r="E15" s="659">
        <f>4248</f>
        <v>4248</v>
      </c>
      <c r="F15" s="660">
        <v>234040</v>
      </c>
      <c r="G15" s="659">
        <f>13366.84</f>
        <v>13366.84</v>
      </c>
      <c r="H15" s="661">
        <f>2300.24+1882.71+1817.29+1932.92+2002.53+1662.39+0+780.16+1974.06+2392.11+1816.55+1441.59</f>
        <v>20002.55</v>
      </c>
      <c r="I15" s="646">
        <f t="shared" si="6"/>
        <v>271657.39</v>
      </c>
      <c r="J15" s="662">
        <f t="shared" si="2"/>
        <v>234040</v>
      </c>
      <c r="K15" s="663">
        <v>2565</v>
      </c>
      <c r="L15" s="663">
        <f t="shared" si="7"/>
        <v>274222.39</v>
      </c>
      <c r="M15" s="664">
        <f t="shared" si="8"/>
        <v>236605</v>
      </c>
      <c r="N15" s="665">
        <f t="shared" si="3"/>
        <v>234040</v>
      </c>
      <c r="O15" s="665">
        <f t="shared" si="3"/>
        <v>2565</v>
      </c>
      <c r="P15" s="666">
        <f>13584.14</f>
        <v>13584.14</v>
      </c>
      <c r="Q15" s="667">
        <v>1782.74</v>
      </c>
      <c r="R15" s="668">
        <f>2743.29+2003.51+2055.94+2186.47+2464.19+1375.79+0-2234.04+2529.26+2204.62+2134.37+1687.5</f>
        <v>19150.899999999998</v>
      </c>
      <c r="S15" s="652">
        <f t="shared" si="9"/>
        <v>34517.78</v>
      </c>
      <c r="T15" s="669">
        <f t="shared" si="4"/>
        <v>931.09000000000015</v>
      </c>
    </row>
    <row r="16" spans="1:20" s="654" customFormat="1" ht="12" x14ac:dyDescent="0.2">
      <c r="A16" s="655" t="s">
        <v>612</v>
      </c>
      <c r="B16" s="656" t="s">
        <v>727</v>
      </c>
      <c r="C16" s="657">
        <f t="shared" si="5"/>
        <v>3731.6</v>
      </c>
      <c r="D16" s="658"/>
      <c r="E16" s="659">
        <f>3587+128+16.6</f>
        <v>3731.6</v>
      </c>
      <c r="F16" s="660">
        <v>218787</v>
      </c>
      <c r="G16" s="659">
        <f>11504</f>
        <v>11504</v>
      </c>
      <c r="H16" s="654">
        <f>1464.91+1049.37+1688.13+1328.81+2021.98+1750.34+1283.53+1712.46+1481.07+2053.04+930.79</f>
        <v>16764.43</v>
      </c>
      <c r="I16" s="646">
        <f t="shared" si="6"/>
        <v>250787.03</v>
      </c>
      <c r="J16" s="662">
        <f t="shared" si="2"/>
        <v>218787</v>
      </c>
      <c r="K16" s="663"/>
      <c r="L16" s="663">
        <f t="shared" si="7"/>
        <v>250787.03</v>
      </c>
      <c r="M16" s="664">
        <f t="shared" si="8"/>
        <v>218787</v>
      </c>
      <c r="N16" s="665">
        <f t="shared" si="3"/>
        <v>218787</v>
      </c>
      <c r="O16" s="665">
        <f t="shared" si="3"/>
        <v>0</v>
      </c>
      <c r="P16" s="666">
        <f>12092.1</f>
        <v>12092.1</v>
      </c>
      <c r="Q16" s="667">
        <v>729.33</v>
      </c>
      <c r="R16" s="668">
        <f>1935.46+1583.53+1635.65+1363.16+1790.04+1863.26+0+773.53+574.24+2513.95+1273.66+1320.22</f>
        <v>16626.7</v>
      </c>
      <c r="S16" s="652">
        <f t="shared" si="9"/>
        <v>29448.13</v>
      </c>
      <c r="T16" s="669">
        <f t="shared" si="4"/>
        <v>591.60000000000218</v>
      </c>
    </row>
    <row r="17" spans="1:20" s="654" customFormat="1" ht="12.75" thickBot="1" x14ac:dyDescent="0.25">
      <c r="A17" s="670" t="s">
        <v>613</v>
      </c>
      <c r="B17" s="671" t="s">
        <v>614</v>
      </c>
      <c r="C17" s="672">
        <f t="shared" si="5"/>
        <v>0</v>
      </c>
      <c r="D17" s="673"/>
      <c r="E17" s="674"/>
      <c r="F17" s="675">
        <v>45000</v>
      </c>
      <c r="G17" s="674"/>
      <c r="H17" s="676"/>
      <c r="I17" s="677">
        <f t="shared" si="6"/>
        <v>45000</v>
      </c>
      <c r="J17" s="678">
        <f t="shared" si="2"/>
        <v>45000</v>
      </c>
      <c r="K17" s="679"/>
      <c r="L17" s="679">
        <f t="shared" si="7"/>
        <v>45000</v>
      </c>
      <c r="M17" s="680">
        <f t="shared" si="8"/>
        <v>0</v>
      </c>
      <c r="N17" s="681"/>
      <c r="O17" s="681">
        <f t="shared" si="3"/>
        <v>0</v>
      </c>
      <c r="P17" s="1024"/>
      <c r="Q17" s="1025"/>
      <c r="R17" s="1026"/>
      <c r="S17" s="682"/>
      <c r="T17" s="683"/>
    </row>
    <row r="18" spans="1:20" s="842" customFormat="1" ht="13.5" thickBot="1" x14ac:dyDescent="0.25">
      <c r="A18" s="770" t="s">
        <v>615</v>
      </c>
      <c r="B18" s="784" t="s">
        <v>616</v>
      </c>
      <c r="C18" s="785">
        <f t="shared" ref="C18:J18" si="10">C19+C20+C21+C22+C23+C24</f>
        <v>3783489.69</v>
      </c>
      <c r="D18" s="786">
        <f t="shared" si="10"/>
        <v>3558006.9</v>
      </c>
      <c r="E18" s="787">
        <f>E19+E20+E21+E22+E23+E24</f>
        <v>225482.79</v>
      </c>
      <c r="F18" s="777">
        <f>F19+F20+F21+F22+F23+F24</f>
        <v>944485</v>
      </c>
      <c r="G18" s="788">
        <f t="shared" si="10"/>
        <v>230328.98</v>
      </c>
      <c r="H18" s="789">
        <f>SUM(H19:H24)</f>
        <v>323500.57</v>
      </c>
      <c r="I18" s="790">
        <f t="shared" si="10"/>
        <v>5281804.24</v>
      </c>
      <c r="J18" s="791">
        <f t="shared" si="10"/>
        <v>4502491.9000000004</v>
      </c>
      <c r="K18" s="790">
        <f>K19+K20+K21+K22+K23+K24</f>
        <v>276142.67</v>
      </c>
      <c r="L18" s="790">
        <f>L19+L20+L21+L22+L23+L24</f>
        <v>5557946.9100000001</v>
      </c>
      <c r="M18" s="785">
        <f>M19+M20+M21+M22+M23+M24</f>
        <v>4524134.9000000004</v>
      </c>
      <c r="N18" s="786">
        <f>N19+N20+N21+N22+N23+N24</f>
        <v>4502491.9000000004</v>
      </c>
      <c r="O18" s="786">
        <f>O19+O20+O21+O22+O23+O24</f>
        <v>21643</v>
      </c>
      <c r="P18" s="792">
        <f>SUM(P19:P24)</f>
        <v>262345.82</v>
      </c>
      <c r="Q18" s="793">
        <f>SUM(Q19:Q23)</f>
        <v>16692.18</v>
      </c>
      <c r="R18" s="794">
        <f>SUM(R19:R23)</f>
        <v>321254.09000000003</v>
      </c>
      <c r="S18" s="795">
        <f>SUM(S19:S24)</f>
        <v>600292.09000000008</v>
      </c>
      <c r="T18" s="796">
        <f>SUM(T19:T23)</f>
        <v>14445.7</v>
      </c>
    </row>
    <row r="19" spans="1:20" s="654" customFormat="1" ht="12" x14ac:dyDescent="0.2">
      <c r="A19" s="637" t="s">
        <v>617</v>
      </c>
      <c r="B19" s="638" t="s">
        <v>728</v>
      </c>
      <c r="C19" s="684">
        <f t="shared" ref="C19:C24" si="11">D19+E19</f>
        <v>270782.53999999998</v>
      </c>
      <c r="D19" s="685">
        <f>260210</f>
        <v>260210</v>
      </c>
      <c r="E19" s="686">
        <f>731.54+750+3514+3424+150+1100+27+726.6+149.4</f>
        <v>10572.54</v>
      </c>
      <c r="F19" s="642">
        <f>197042</f>
        <v>197042</v>
      </c>
      <c r="G19" s="641">
        <f>28819.45</f>
        <v>28819.45</v>
      </c>
      <c r="H19" s="643">
        <f>1630.08+1571.53+2369.74+2223.3+3902.92+1887.61+676.27+2377.36+2450.27+2722.24+3142.13</f>
        <v>24953.45</v>
      </c>
      <c r="I19" s="644">
        <f>C19+F19+G19+H19</f>
        <v>521597.44</v>
      </c>
      <c r="J19" s="687">
        <f t="shared" ref="J19:J24" si="12">D19+F19</f>
        <v>457252</v>
      </c>
      <c r="K19" s="644">
        <v>10000</v>
      </c>
      <c r="L19" s="644">
        <f t="shared" ref="L19:L24" si="13">I19+K19</f>
        <v>531597.43999999994</v>
      </c>
      <c r="M19" s="688">
        <f t="shared" ref="M19:M24" si="14">N19+O19</f>
        <v>467252</v>
      </c>
      <c r="N19" s="689">
        <f>D19+F19</f>
        <v>457252</v>
      </c>
      <c r="O19" s="689">
        <f t="shared" ref="O19:O24" si="15">K19</f>
        <v>10000</v>
      </c>
      <c r="P19" s="649">
        <f>37299.73</f>
        <v>37299.730000000003</v>
      </c>
      <c r="Q19" s="650">
        <v>1175.27</v>
      </c>
      <c r="R19" s="690">
        <f>2770.25+2222.53+2401.78+2104.92+1152.36+2130.51+394.41+72.62+2482.08+2216.62+2699.92+3335.3</f>
        <v>23983.3</v>
      </c>
      <c r="S19" s="691">
        <f>SUM(P19:R19)</f>
        <v>62458.3</v>
      </c>
      <c r="T19" s="653">
        <f>Q19+R19-H19</f>
        <v>205.11999999999898</v>
      </c>
    </row>
    <row r="20" spans="1:20" s="654" customFormat="1" ht="12" x14ac:dyDescent="0.2">
      <c r="A20" s="655" t="s">
        <v>618</v>
      </c>
      <c r="B20" s="656" t="s">
        <v>729</v>
      </c>
      <c r="C20" s="657">
        <f t="shared" si="11"/>
        <v>595135.75</v>
      </c>
      <c r="D20" s="692">
        <f>572460</f>
        <v>572460</v>
      </c>
      <c r="E20" s="659">
        <f>2465.6+5250+6784+1404+1350+4000+136+1020.55+265.6</f>
        <v>22675.749999999996</v>
      </c>
      <c r="F20" s="660">
        <f>135391</f>
        <v>135391</v>
      </c>
      <c r="G20" s="659">
        <f>34600</f>
        <v>34600</v>
      </c>
      <c r="H20" s="661">
        <f>5810.48+5179.96+2884.97+6437.12+4921.07+6060.18+521.12+4210.05+6666.42+6353.89+3683.22</f>
        <v>52728.479999999996</v>
      </c>
      <c r="I20" s="663">
        <f t="shared" ref="I20:I23" si="16">C20+F20+G20+H20</f>
        <v>817855.23</v>
      </c>
      <c r="J20" s="662">
        <f t="shared" si="12"/>
        <v>707851</v>
      </c>
      <c r="K20" s="663">
        <f>52866.01+4300</f>
        <v>57166.01</v>
      </c>
      <c r="L20" s="663">
        <f t="shared" si="13"/>
        <v>875021.24</v>
      </c>
      <c r="M20" s="664">
        <f t="shared" si="14"/>
        <v>712151</v>
      </c>
      <c r="N20" s="665">
        <f t="shared" ref="N20:N24" si="17">D20+F20</f>
        <v>707851</v>
      </c>
      <c r="O20" s="665">
        <f>4300</f>
        <v>4300</v>
      </c>
      <c r="P20" s="666">
        <f>34704.22</f>
        <v>34704.22</v>
      </c>
      <c r="Q20" s="667">
        <v>864.46</v>
      </c>
      <c r="R20" s="668">
        <f>5154.02+5394.1+4407.53+4763.76+6373.29+5287.19+169.58+4332.47+6832.87+6077.02+3618.63</f>
        <v>52410.46</v>
      </c>
      <c r="S20" s="691">
        <f t="shared" ref="S20:S23" si="18">SUM(P20:R20)</f>
        <v>87979.14</v>
      </c>
      <c r="T20" s="669">
        <f>Q20+R20-H20</f>
        <v>546.44000000000233</v>
      </c>
    </row>
    <row r="21" spans="1:20" s="654" customFormat="1" ht="12" x14ac:dyDescent="0.2">
      <c r="A21" s="655" t="s">
        <v>619</v>
      </c>
      <c r="B21" s="656" t="s">
        <v>730</v>
      </c>
      <c r="C21" s="657">
        <f t="shared" si="11"/>
        <v>1011889.25</v>
      </c>
      <c r="D21" s="692">
        <f>955285</f>
        <v>955285</v>
      </c>
      <c r="E21" s="659">
        <f>9160.8+6600+10298+2145+20160+1031+50+6300+218+508.65+132.8</f>
        <v>56604.250000000007</v>
      </c>
      <c r="F21" s="660">
        <f>259821</f>
        <v>259821</v>
      </c>
      <c r="G21" s="659">
        <f>52710</f>
        <v>52710</v>
      </c>
      <c r="H21" s="654">
        <f>8935.21+8850.33+143.1+8970.1+46.48+7419.53+15.12+13728.2+8433.63+975.61+204.55+10378.9+12794.12+8170.16+9500.83</f>
        <v>98565.87000000001</v>
      </c>
      <c r="I21" s="663">
        <f t="shared" si="16"/>
        <v>1422986.12</v>
      </c>
      <c r="J21" s="662">
        <f t="shared" si="12"/>
        <v>1215106</v>
      </c>
      <c r="K21" s="663">
        <f>2187+77903.11+7609.5</f>
        <v>87699.61</v>
      </c>
      <c r="L21" s="663">
        <f t="shared" si="13"/>
        <v>1510685.7300000002</v>
      </c>
      <c r="M21" s="664">
        <f t="shared" si="14"/>
        <v>1215106</v>
      </c>
      <c r="N21" s="665">
        <f t="shared" si="17"/>
        <v>1215106</v>
      </c>
      <c r="O21" s="665">
        <v>0</v>
      </c>
      <c r="P21" s="666">
        <v>64314.63</v>
      </c>
      <c r="Q21" s="667">
        <v>7823.17</v>
      </c>
      <c r="R21" s="693">
        <f>11276.4+8909.06+9091.03+11333.62+11324.9+3033.29+206.8-2568.53+214.4-67.56+16828.32-298.12+11904.74-63.49+6807.83+9698.08</f>
        <v>97630.770000000019</v>
      </c>
      <c r="S21" s="691">
        <f t="shared" si="18"/>
        <v>169768.57</v>
      </c>
      <c r="T21" s="669">
        <f>Q21+R21-H21</f>
        <v>6888.070000000007</v>
      </c>
    </row>
    <row r="22" spans="1:20" s="654" customFormat="1" ht="12" x14ac:dyDescent="0.2">
      <c r="A22" s="655" t="s">
        <v>620</v>
      </c>
      <c r="B22" s="656" t="s">
        <v>731</v>
      </c>
      <c r="C22" s="657">
        <f t="shared" si="11"/>
        <v>745890.9</v>
      </c>
      <c r="D22" s="692">
        <f>680072+330.9</f>
        <v>680402.9</v>
      </c>
      <c r="E22" s="659">
        <f>3485.3+3450+9811+40320+2196+900+4100+208+851.7+166</f>
        <v>65488</v>
      </c>
      <c r="F22" s="660">
        <f>132278</f>
        <v>132278</v>
      </c>
      <c r="G22" s="659">
        <f>59219.3</f>
        <v>59219.3</v>
      </c>
      <c r="H22" s="661">
        <f>6483.99+6328+4079.54+5991.54+6881.41+4128.06+718.46+8623.87+8155.8+6591.75+5525.27</f>
        <v>63507.69</v>
      </c>
      <c r="I22" s="663">
        <f t="shared" si="16"/>
        <v>1000895.8900000001</v>
      </c>
      <c r="J22" s="662">
        <f t="shared" si="12"/>
        <v>812680.9</v>
      </c>
      <c r="K22" s="663">
        <v>1843</v>
      </c>
      <c r="L22" s="663">
        <f t="shared" si="13"/>
        <v>1002738.8900000001</v>
      </c>
      <c r="M22" s="664">
        <f t="shared" si="14"/>
        <v>814523.9</v>
      </c>
      <c r="N22" s="665">
        <f t="shared" si="17"/>
        <v>812680.9</v>
      </c>
      <c r="O22" s="665">
        <f t="shared" si="15"/>
        <v>1843</v>
      </c>
      <c r="P22" s="666">
        <f>68000.25+483.45</f>
        <v>68483.7</v>
      </c>
      <c r="Q22" s="667">
        <v>4686.09</v>
      </c>
      <c r="R22" s="668">
        <f>6383.11+5777.5+5581.82+7100.03+6451.11+2514.01-377.82-1028.27+12783.77+7297.52+6240.97+6267.53</f>
        <v>64991.28</v>
      </c>
      <c r="S22" s="691">
        <f t="shared" si="18"/>
        <v>138161.07</v>
      </c>
      <c r="T22" s="669">
        <f>Q22+R22-H22</f>
        <v>6169.679999999993</v>
      </c>
    </row>
    <row r="23" spans="1:20" s="654" customFormat="1" ht="12" x14ac:dyDescent="0.2">
      <c r="A23" s="655" t="s">
        <v>621</v>
      </c>
      <c r="B23" s="656" t="s">
        <v>732</v>
      </c>
      <c r="C23" s="657">
        <f t="shared" si="11"/>
        <v>704894.85</v>
      </c>
      <c r="D23" s="692">
        <f>669716</f>
        <v>669716</v>
      </c>
      <c r="E23" s="659">
        <f>1802.4+3900+12109+10080+900+600+4500+182+939.45+166</f>
        <v>35178.85</v>
      </c>
      <c r="F23" s="660">
        <f>137885</f>
        <v>137885</v>
      </c>
      <c r="G23" s="659">
        <v>39168.83</v>
      </c>
      <c r="H23" s="654">
        <f>8258.92+10128.58+4665.88+8236.9+8140.75+10227.96+8764.86+8251.53+8073.9+8995.8</f>
        <v>83745.08</v>
      </c>
      <c r="I23" s="663">
        <f t="shared" si="16"/>
        <v>965693.75999999989</v>
      </c>
      <c r="J23" s="662">
        <f t="shared" si="12"/>
        <v>807601</v>
      </c>
      <c r="K23" s="663">
        <f>24924+89010.05+5500</f>
        <v>119434.05</v>
      </c>
      <c r="L23" s="663">
        <f t="shared" si="13"/>
        <v>1085127.8099999998</v>
      </c>
      <c r="M23" s="664">
        <f t="shared" si="14"/>
        <v>813101</v>
      </c>
      <c r="N23" s="665">
        <f t="shared" si="17"/>
        <v>807601</v>
      </c>
      <c r="O23" s="665">
        <v>5500</v>
      </c>
      <c r="P23" s="666">
        <v>41456.74</v>
      </c>
      <c r="Q23" s="667">
        <v>2143.19</v>
      </c>
      <c r="R23" s="668">
        <f>7190.94+6784.86+6559.48+9067.62+9189.59+7882.81+1139.28+7645.07+10599.88+8755.4+7466.94-43.59</f>
        <v>82238.28</v>
      </c>
      <c r="S23" s="691">
        <f t="shared" si="18"/>
        <v>125838.20999999999</v>
      </c>
      <c r="T23" s="669">
        <f>Q23+R23-H23</f>
        <v>636.38999999999942</v>
      </c>
    </row>
    <row r="24" spans="1:20" s="654" customFormat="1" ht="12.75" thickBot="1" x14ac:dyDescent="0.25">
      <c r="A24" s="670" t="s">
        <v>622</v>
      </c>
      <c r="B24" s="671" t="s">
        <v>733</v>
      </c>
      <c r="C24" s="694">
        <f t="shared" si="11"/>
        <v>454896.4</v>
      </c>
      <c r="D24" s="695">
        <f>419933</f>
        <v>419933</v>
      </c>
      <c r="E24" s="696">
        <f>5855.2+2550+5190+1377+18480+50+1200+105+123+33.2</f>
        <v>34963.399999999994</v>
      </c>
      <c r="F24" s="697">
        <f>82068</f>
        <v>82068</v>
      </c>
      <c r="G24" s="696">
        <f>15811.4</f>
        <v>15811.4</v>
      </c>
      <c r="H24" s="698"/>
      <c r="I24" s="646">
        <f>C24+F24+G24+H24</f>
        <v>552775.80000000005</v>
      </c>
      <c r="J24" s="699">
        <f t="shared" si="12"/>
        <v>502001</v>
      </c>
      <c r="K24" s="700"/>
      <c r="L24" s="663">
        <f t="shared" si="13"/>
        <v>552775.80000000005</v>
      </c>
      <c r="M24" s="701">
        <f t="shared" si="14"/>
        <v>502001</v>
      </c>
      <c r="N24" s="648">
        <f t="shared" si="17"/>
        <v>502001</v>
      </c>
      <c r="O24" s="702">
        <f t="shared" si="15"/>
        <v>0</v>
      </c>
      <c r="P24" s="703">
        <v>16086.8</v>
      </c>
      <c r="Q24" s="704"/>
      <c r="R24" s="705"/>
      <c r="S24" s="691">
        <f>SUM(P24:R24)</f>
        <v>16086.8</v>
      </c>
      <c r="T24" s="706"/>
    </row>
    <row r="25" spans="1:20" s="842" customFormat="1" ht="13.5" thickBot="1" x14ac:dyDescent="0.25">
      <c r="A25" s="770" t="s">
        <v>623</v>
      </c>
      <c r="B25" s="784" t="s">
        <v>734</v>
      </c>
      <c r="C25" s="797">
        <f>C27+C28</f>
        <v>753.8</v>
      </c>
      <c r="D25" s="798"/>
      <c r="E25" s="799">
        <f>E26+E27+E28</f>
        <v>753.8</v>
      </c>
      <c r="F25" s="797">
        <f>F26+F27</f>
        <v>687970</v>
      </c>
      <c r="G25" s="799">
        <f>G26+G27</f>
        <v>85500</v>
      </c>
      <c r="H25" s="800"/>
      <c r="I25" s="801">
        <f>I26+I27+I28</f>
        <v>774223.8</v>
      </c>
      <c r="J25" s="800">
        <f>J26+J27</f>
        <v>687970</v>
      </c>
      <c r="K25" s="801">
        <f>SUM(K26:K28)</f>
        <v>75942</v>
      </c>
      <c r="L25" s="801">
        <f>L26+L27+L28</f>
        <v>850165.8</v>
      </c>
      <c r="M25" s="797">
        <f>M26+M27</f>
        <v>687970</v>
      </c>
      <c r="N25" s="798">
        <f>N26+N27</f>
        <v>687970</v>
      </c>
      <c r="O25" s="798">
        <f>O26+O27</f>
        <v>0</v>
      </c>
      <c r="P25" s="792">
        <f>SUM(P26:P27)</f>
        <v>89195.01999999999</v>
      </c>
      <c r="Q25" s="802"/>
      <c r="R25" s="794"/>
      <c r="S25" s="795">
        <f>SUM(S26:S27)</f>
        <v>89195.01999999999</v>
      </c>
      <c r="T25" s="796"/>
    </row>
    <row r="26" spans="1:20" s="654" customFormat="1" ht="12.75" thickBot="1" x14ac:dyDescent="0.25">
      <c r="A26" s="637" t="s">
        <v>624</v>
      </c>
      <c r="B26" s="638" t="s">
        <v>625</v>
      </c>
      <c r="C26" s="684"/>
      <c r="D26" s="685"/>
      <c r="E26" s="686"/>
      <c r="F26" s="707">
        <v>490859</v>
      </c>
      <c r="G26" s="686">
        <f>38000</f>
        <v>38000</v>
      </c>
      <c r="H26" s="708"/>
      <c r="I26" s="644">
        <f>F26+G26</f>
        <v>528859</v>
      </c>
      <c r="J26" s="687">
        <f>F26</f>
        <v>490859</v>
      </c>
      <c r="K26" s="644">
        <v>0</v>
      </c>
      <c r="L26" s="644">
        <f>I26+K26</f>
        <v>528859</v>
      </c>
      <c r="M26" s="688">
        <f>N26+O26</f>
        <v>490859</v>
      </c>
      <c r="N26" s="689">
        <f>J26</f>
        <v>490859</v>
      </c>
      <c r="O26" s="689">
        <f>K26</f>
        <v>0</v>
      </c>
      <c r="P26" s="649">
        <f>40539.14</f>
        <v>40539.14</v>
      </c>
      <c r="Q26" s="650"/>
      <c r="R26" s="651"/>
      <c r="S26" s="652">
        <f>SUM(P26:R26)</f>
        <v>40539.14</v>
      </c>
      <c r="T26" s="653"/>
    </row>
    <row r="27" spans="1:20" s="654" customFormat="1" ht="12" x14ac:dyDescent="0.2">
      <c r="A27" s="655" t="s">
        <v>626</v>
      </c>
      <c r="B27" s="656" t="s">
        <v>627</v>
      </c>
      <c r="C27" s="657">
        <f>E27</f>
        <v>704</v>
      </c>
      <c r="D27" s="692"/>
      <c r="E27" s="659">
        <f>704</f>
        <v>704</v>
      </c>
      <c r="F27" s="660">
        <v>197111</v>
      </c>
      <c r="G27" s="659">
        <f>47500</f>
        <v>47500</v>
      </c>
      <c r="H27" s="709"/>
      <c r="I27" s="663">
        <f>C27+F27+G27</f>
        <v>245315</v>
      </c>
      <c r="J27" s="662">
        <f>F27</f>
        <v>197111</v>
      </c>
      <c r="K27" s="663">
        <v>75942</v>
      </c>
      <c r="L27" s="644">
        <f>I27+K27</f>
        <v>321257</v>
      </c>
      <c r="M27" s="664">
        <f>N27+O27</f>
        <v>197111</v>
      </c>
      <c r="N27" s="665">
        <f>J27</f>
        <v>197111</v>
      </c>
      <c r="O27" s="665"/>
      <c r="P27" s="666">
        <f>48655.88</f>
        <v>48655.88</v>
      </c>
      <c r="Q27" s="667"/>
      <c r="R27" s="668"/>
      <c r="S27" s="652">
        <f>SUM(P27:R27)</f>
        <v>48655.88</v>
      </c>
      <c r="T27" s="669"/>
    </row>
    <row r="28" spans="1:20" s="654" customFormat="1" ht="12.75" thickBot="1" x14ac:dyDescent="0.25">
      <c r="A28" s="670"/>
      <c r="B28" s="671" t="s">
        <v>628</v>
      </c>
      <c r="C28" s="694">
        <f>E28</f>
        <v>49.8</v>
      </c>
      <c r="D28" s="695"/>
      <c r="E28" s="696">
        <v>49.8</v>
      </c>
      <c r="F28" s="697"/>
      <c r="G28" s="696"/>
      <c r="H28" s="698"/>
      <c r="I28" s="700">
        <f>C28+F28+G28</f>
        <v>49.8</v>
      </c>
      <c r="J28" s="699"/>
      <c r="K28" s="700"/>
      <c r="L28" s="700">
        <f>I28+K28</f>
        <v>49.8</v>
      </c>
      <c r="M28" s="701"/>
      <c r="N28" s="702"/>
      <c r="O28" s="702"/>
      <c r="P28" s="710"/>
      <c r="Q28" s="711"/>
      <c r="R28" s="712"/>
      <c r="S28" s="713"/>
      <c r="T28" s="714"/>
    </row>
    <row r="29" spans="1:20" s="842" customFormat="1" ht="13.5" thickBot="1" x14ac:dyDescent="0.25">
      <c r="A29" s="770" t="s">
        <v>629</v>
      </c>
      <c r="B29" s="784" t="s">
        <v>630</v>
      </c>
      <c r="C29" s="803"/>
      <c r="D29" s="804"/>
      <c r="E29" s="805">
        <f>E30+E31+E32+E33+E34+E35+E36+E37+E38+E39+E41+E42+E43+E40</f>
        <v>259846.39</v>
      </c>
      <c r="F29" s="803"/>
      <c r="G29" s="805"/>
      <c r="H29" s="806"/>
      <c r="I29" s="807">
        <f>SUM(I30:I37)</f>
        <v>0</v>
      </c>
      <c r="J29" s="806"/>
      <c r="K29" s="807"/>
      <c r="L29" s="807"/>
      <c r="M29" s="797">
        <f>SUM(M30:M43)</f>
        <v>259796.59</v>
      </c>
      <c r="N29" s="798">
        <f>SUM(N30:N43)</f>
        <v>259796.59</v>
      </c>
      <c r="O29" s="808"/>
      <c r="P29" s="809"/>
      <c r="Q29" s="810"/>
      <c r="R29" s="811"/>
      <c r="S29" s="812"/>
      <c r="T29" s="813"/>
    </row>
    <row r="30" spans="1:20" s="722" customFormat="1" ht="12" x14ac:dyDescent="0.2">
      <c r="A30" s="715"/>
      <c r="B30" s="716" t="s">
        <v>631</v>
      </c>
      <c r="C30" s="684"/>
      <c r="D30" s="717"/>
      <c r="E30" s="686">
        <v>23500.84</v>
      </c>
      <c r="F30" s="684"/>
      <c r="G30" s="718"/>
      <c r="H30" s="687"/>
      <c r="I30" s="644"/>
      <c r="J30" s="687"/>
      <c r="K30" s="644"/>
      <c r="L30" s="644"/>
      <c r="M30" s="688">
        <f t="shared" ref="M30:M43" si="19">SUM(N30:O30)</f>
        <v>23500.84</v>
      </c>
      <c r="N30" s="689">
        <f>E30</f>
        <v>23500.84</v>
      </c>
      <c r="O30" s="689"/>
      <c r="P30" s="719"/>
      <c r="Q30" s="720"/>
      <c r="R30" s="598"/>
      <c r="S30" s="597"/>
      <c r="T30" s="721"/>
    </row>
    <row r="31" spans="1:20" s="722" customFormat="1" ht="12" x14ac:dyDescent="0.2">
      <c r="A31" s="723"/>
      <c r="B31" s="724" t="s">
        <v>632</v>
      </c>
      <c r="C31" s="657"/>
      <c r="D31" s="658"/>
      <c r="E31" s="659">
        <v>39482</v>
      </c>
      <c r="F31" s="657"/>
      <c r="G31" s="725"/>
      <c r="H31" s="662"/>
      <c r="I31" s="663"/>
      <c r="J31" s="662"/>
      <c r="K31" s="663"/>
      <c r="L31" s="663"/>
      <c r="M31" s="664">
        <f t="shared" si="19"/>
        <v>39482</v>
      </c>
      <c r="N31" s="665">
        <f t="shared" ref="N31:N43" si="20">E31</f>
        <v>39482</v>
      </c>
      <c r="O31" s="665"/>
      <c r="P31" s="719"/>
      <c r="Q31" s="720"/>
      <c r="R31" s="598"/>
      <c r="S31" s="597"/>
      <c r="T31" s="721"/>
    </row>
    <row r="32" spans="1:20" s="722" customFormat="1" ht="12" x14ac:dyDescent="0.2">
      <c r="A32" s="723"/>
      <c r="B32" s="724" t="s">
        <v>633</v>
      </c>
      <c r="C32" s="657"/>
      <c r="D32" s="658"/>
      <c r="E32" s="659">
        <v>48410</v>
      </c>
      <c r="F32" s="657"/>
      <c r="G32" s="725"/>
      <c r="H32" s="662"/>
      <c r="I32" s="663"/>
      <c r="J32" s="662"/>
      <c r="K32" s="663"/>
      <c r="L32" s="663"/>
      <c r="M32" s="664">
        <f t="shared" si="19"/>
        <v>48410</v>
      </c>
      <c r="N32" s="665">
        <f t="shared" si="20"/>
        <v>48410</v>
      </c>
      <c r="O32" s="665"/>
      <c r="P32" s="719"/>
      <c r="Q32" s="720"/>
      <c r="R32" s="598"/>
      <c r="S32" s="597"/>
      <c r="T32" s="721"/>
    </row>
    <row r="33" spans="1:20" s="722" customFormat="1" ht="12" x14ac:dyDescent="0.2">
      <c r="A33" s="723"/>
      <c r="B33" s="724" t="s">
        <v>634</v>
      </c>
      <c r="C33" s="657"/>
      <c r="D33" s="658"/>
      <c r="E33" s="659">
        <v>4631</v>
      </c>
      <c r="F33" s="657"/>
      <c r="G33" s="725"/>
      <c r="H33" s="662"/>
      <c r="I33" s="663"/>
      <c r="J33" s="662"/>
      <c r="K33" s="663"/>
      <c r="L33" s="663"/>
      <c r="M33" s="664">
        <f t="shared" si="19"/>
        <v>4631</v>
      </c>
      <c r="N33" s="665">
        <f t="shared" si="20"/>
        <v>4631</v>
      </c>
      <c r="O33" s="665"/>
      <c r="P33" s="719"/>
      <c r="Q33" s="720"/>
      <c r="R33" s="598"/>
      <c r="S33" s="597"/>
      <c r="T33" s="721"/>
    </row>
    <row r="34" spans="1:20" s="722" customFormat="1" ht="12" x14ac:dyDescent="0.2">
      <c r="A34" s="723"/>
      <c r="B34" s="724" t="s">
        <v>635</v>
      </c>
      <c r="C34" s="657"/>
      <c r="D34" s="658"/>
      <c r="E34" s="659">
        <v>600</v>
      </c>
      <c r="F34" s="657"/>
      <c r="G34" s="725"/>
      <c r="H34" s="662"/>
      <c r="I34" s="663"/>
      <c r="J34" s="662"/>
      <c r="K34" s="663"/>
      <c r="L34" s="663"/>
      <c r="M34" s="664">
        <f t="shared" si="19"/>
        <v>600</v>
      </c>
      <c r="N34" s="665">
        <f t="shared" si="20"/>
        <v>600</v>
      </c>
      <c r="O34" s="665"/>
      <c r="P34" s="719"/>
      <c r="Q34" s="720"/>
      <c r="R34" s="598"/>
      <c r="S34" s="597"/>
      <c r="T34" s="721"/>
    </row>
    <row r="35" spans="1:20" s="722" customFormat="1" ht="12" x14ac:dyDescent="0.2">
      <c r="A35" s="723"/>
      <c r="B35" s="724" t="s">
        <v>636</v>
      </c>
      <c r="C35" s="657"/>
      <c r="D35" s="658"/>
      <c r="E35" s="659">
        <v>5193.95</v>
      </c>
      <c r="F35" s="657"/>
      <c r="G35" s="725"/>
      <c r="H35" s="662"/>
      <c r="I35" s="663"/>
      <c r="J35" s="662"/>
      <c r="K35" s="663"/>
      <c r="L35" s="663"/>
      <c r="M35" s="664">
        <f t="shared" si="19"/>
        <v>5193.95</v>
      </c>
      <c r="N35" s="665">
        <f t="shared" si="20"/>
        <v>5193.95</v>
      </c>
      <c r="O35" s="665"/>
      <c r="P35" s="719"/>
      <c r="Q35" s="720"/>
      <c r="R35" s="598"/>
      <c r="S35" s="597"/>
      <c r="T35" s="721"/>
    </row>
    <row r="36" spans="1:20" s="722" customFormat="1" ht="12" x14ac:dyDescent="0.2">
      <c r="A36" s="723"/>
      <c r="B36" s="724" t="s">
        <v>637</v>
      </c>
      <c r="C36" s="657"/>
      <c r="D36" s="658"/>
      <c r="E36" s="659">
        <v>1012.6</v>
      </c>
      <c r="F36" s="657"/>
      <c r="G36" s="725"/>
      <c r="H36" s="662"/>
      <c r="I36" s="663"/>
      <c r="J36" s="662"/>
      <c r="K36" s="663"/>
      <c r="L36" s="663"/>
      <c r="M36" s="664">
        <f t="shared" si="19"/>
        <v>962.80000000000007</v>
      </c>
      <c r="N36" s="665">
        <f>E36-49.8</f>
        <v>962.80000000000007</v>
      </c>
      <c r="O36" s="665"/>
      <c r="P36" s="719"/>
      <c r="Q36" s="720"/>
      <c r="R36" s="598"/>
      <c r="S36" s="597"/>
      <c r="T36" s="721"/>
    </row>
    <row r="37" spans="1:20" s="722" customFormat="1" ht="12" x14ac:dyDescent="0.2">
      <c r="A37" s="723"/>
      <c r="B37" s="724" t="s">
        <v>638</v>
      </c>
      <c r="C37" s="657"/>
      <c r="D37" s="658"/>
      <c r="E37" s="659">
        <v>89040</v>
      </c>
      <c r="F37" s="657"/>
      <c r="G37" s="725"/>
      <c r="H37" s="662"/>
      <c r="I37" s="726"/>
      <c r="J37" s="662"/>
      <c r="K37" s="663"/>
      <c r="L37" s="663"/>
      <c r="M37" s="664">
        <f t="shared" si="19"/>
        <v>89040</v>
      </c>
      <c r="N37" s="665">
        <f>E37-I37</f>
        <v>89040</v>
      </c>
      <c r="O37" s="665"/>
      <c r="P37" s="719"/>
      <c r="Q37" s="720"/>
      <c r="R37" s="598"/>
      <c r="S37" s="597"/>
      <c r="T37" s="721"/>
    </row>
    <row r="38" spans="1:20" s="722" customFormat="1" ht="12" x14ac:dyDescent="0.2">
      <c r="A38" s="723"/>
      <c r="B38" s="724" t="s">
        <v>639</v>
      </c>
      <c r="C38" s="657"/>
      <c r="D38" s="658"/>
      <c r="E38" s="659">
        <v>21200</v>
      </c>
      <c r="F38" s="657"/>
      <c r="G38" s="725"/>
      <c r="H38" s="662"/>
      <c r="I38" s="663"/>
      <c r="J38" s="662"/>
      <c r="K38" s="663"/>
      <c r="L38" s="663"/>
      <c r="M38" s="664">
        <f t="shared" si="19"/>
        <v>21200</v>
      </c>
      <c r="N38" s="665">
        <f t="shared" si="20"/>
        <v>21200</v>
      </c>
      <c r="O38" s="665"/>
      <c r="P38" s="719"/>
      <c r="Q38" s="720"/>
      <c r="R38" s="598"/>
      <c r="S38" s="597"/>
      <c r="T38" s="721"/>
    </row>
    <row r="39" spans="1:20" s="722" customFormat="1" ht="12" x14ac:dyDescent="0.2">
      <c r="A39" s="723"/>
      <c r="B39" s="724" t="s">
        <v>640</v>
      </c>
      <c r="C39" s="657"/>
      <c r="D39" s="658"/>
      <c r="E39" s="659">
        <v>22500</v>
      </c>
      <c r="F39" s="657"/>
      <c r="G39" s="725"/>
      <c r="H39" s="662"/>
      <c r="I39" s="663"/>
      <c r="J39" s="662"/>
      <c r="K39" s="663"/>
      <c r="L39" s="663"/>
      <c r="M39" s="664">
        <f t="shared" si="19"/>
        <v>22500</v>
      </c>
      <c r="N39" s="665">
        <f t="shared" si="20"/>
        <v>22500</v>
      </c>
      <c r="O39" s="665"/>
      <c r="P39" s="719"/>
      <c r="Q39" s="720"/>
      <c r="R39" s="598"/>
      <c r="S39" s="597"/>
      <c r="T39" s="721"/>
    </row>
    <row r="40" spans="1:20" s="722" customFormat="1" ht="12" x14ac:dyDescent="0.2">
      <c r="A40" s="723"/>
      <c r="B40" s="724" t="s">
        <v>735</v>
      </c>
      <c r="C40" s="657"/>
      <c r="D40" s="658"/>
      <c r="E40" s="659"/>
      <c r="F40" s="657"/>
      <c r="G40" s="725"/>
      <c r="H40" s="662"/>
      <c r="I40" s="663"/>
      <c r="J40" s="662"/>
      <c r="K40" s="663"/>
      <c r="L40" s="663"/>
      <c r="M40" s="664">
        <f t="shared" si="19"/>
        <v>0</v>
      </c>
      <c r="N40" s="665">
        <f t="shared" si="20"/>
        <v>0</v>
      </c>
      <c r="O40" s="665"/>
      <c r="P40" s="719"/>
      <c r="Q40" s="720"/>
      <c r="R40" s="598"/>
      <c r="S40" s="597"/>
      <c r="T40" s="721"/>
    </row>
    <row r="41" spans="1:20" s="722" customFormat="1" ht="12" x14ac:dyDescent="0.2">
      <c r="A41" s="723"/>
      <c r="B41" s="724" t="s">
        <v>641</v>
      </c>
      <c r="C41" s="657"/>
      <c r="D41" s="658"/>
      <c r="E41" s="659"/>
      <c r="F41" s="657"/>
      <c r="G41" s="725"/>
      <c r="H41" s="662"/>
      <c r="I41" s="663"/>
      <c r="J41" s="662"/>
      <c r="K41" s="663"/>
      <c r="L41" s="663"/>
      <c r="M41" s="664">
        <f t="shared" si="19"/>
        <v>0</v>
      </c>
      <c r="N41" s="665">
        <f t="shared" si="20"/>
        <v>0</v>
      </c>
      <c r="O41" s="665"/>
      <c r="P41" s="719"/>
      <c r="Q41" s="720"/>
      <c r="R41" s="598"/>
      <c r="S41" s="597"/>
      <c r="T41" s="721"/>
    </row>
    <row r="42" spans="1:20" s="722" customFormat="1" ht="12" x14ac:dyDescent="0.2">
      <c r="A42" s="723"/>
      <c r="B42" s="724" t="s">
        <v>642</v>
      </c>
      <c r="C42" s="657"/>
      <c r="D42" s="658"/>
      <c r="E42" s="659">
        <v>876</v>
      </c>
      <c r="F42" s="657"/>
      <c r="G42" s="725"/>
      <c r="H42" s="662"/>
      <c r="I42" s="663"/>
      <c r="J42" s="662"/>
      <c r="K42" s="663"/>
      <c r="L42" s="663"/>
      <c r="M42" s="647">
        <f t="shared" si="19"/>
        <v>876</v>
      </c>
      <c r="N42" s="665">
        <f t="shared" si="20"/>
        <v>876</v>
      </c>
      <c r="O42" s="665"/>
      <c r="P42" s="719"/>
      <c r="Q42" s="720"/>
      <c r="R42" s="598"/>
      <c r="S42" s="597"/>
      <c r="T42" s="721"/>
    </row>
    <row r="43" spans="1:20" s="722" customFormat="1" ht="12.75" thickBot="1" x14ac:dyDescent="0.25">
      <c r="A43" s="727"/>
      <c r="B43" s="728" t="s">
        <v>643</v>
      </c>
      <c r="C43" s="694"/>
      <c r="D43" s="729"/>
      <c r="E43" s="696">
        <v>3400</v>
      </c>
      <c r="F43" s="694"/>
      <c r="G43" s="730"/>
      <c r="H43" s="699"/>
      <c r="I43" s="700"/>
      <c r="J43" s="699"/>
      <c r="K43" s="700"/>
      <c r="L43" s="700"/>
      <c r="M43" s="647">
        <f t="shared" si="19"/>
        <v>3400</v>
      </c>
      <c r="N43" s="702">
        <f t="shared" si="20"/>
        <v>3400</v>
      </c>
      <c r="O43" s="702"/>
      <c r="P43" s="719"/>
      <c r="Q43" s="720"/>
      <c r="R43" s="598"/>
      <c r="S43" s="597"/>
      <c r="T43" s="721"/>
    </row>
    <row r="44" spans="1:20" s="842" customFormat="1" ht="13.5" thickBot="1" x14ac:dyDescent="0.25">
      <c r="A44" s="814" t="s">
        <v>644</v>
      </c>
      <c r="B44" s="815" t="s">
        <v>599</v>
      </c>
      <c r="C44" s="803"/>
      <c r="D44" s="804"/>
      <c r="E44" s="805"/>
      <c r="F44" s="803"/>
      <c r="G44" s="805">
        <f>G10+G18+G25</f>
        <v>401455.82</v>
      </c>
      <c r="H44" s="806"/>
      <c r="I44" s="807"/>
      <c r="J44" s="806"/>
      <c r="K44" s="816"/>
      <c r="L44" s="807"/>
      <c r="M44" s="797">
        <f>G44+O44</f>
        <v>401455.82</v>
      </c>
      <c r="N44" s="798">
        <f>G44</f>
        <v>401455.82</v>
      </c>
      <c r="O44" s="798">
        <f>K44</f>
        <v>0</v>
      </c>
      <c r="P44" s="809"/>
      <c r="Q44" s="810"/>
      <c r="R44" s="811"/>
      <c r="S44" s="812"/>
      <c r="T44" s="813"/>
    </row>
    <row r="45" spans="1:20" s="842" customFormat="1" ht="13.5" thickBot="1" x14ac:dyDescent="0.25">
      <c r="A45" s="817" t="s">
        <v>645</v>
      </c>
      <c r="B45" s="818" t="s">
        <v>295</v>
      </c>
      <c r="C45" s="803"/>
      <c r="D45" s="804"/>
      <c r="E45" s="805"/>
      <c r="F45" s="803">
        <v>3068.18</v>
      </c>
      <c r="G45" s="805"/>
      <c r="H45" s="806"/>
      <c r="I45" s="807">
        <f>F45</f>
        <v>3068.18</v>
      </c>
      <c r="J45" s="806"/>
      <c r="K45" s="816"/>
      <c r="L45" s="807">
        <f>F45+K45</f>
        <v>3068.18</v>
      </c>
      <c r="M45" s="797">
        <f>N45+O45</f>
        <v>0</v>
      </c>
      <c r="N45" s="798"/>
      <c r="O45" s="808"/>
      <c r="P45" s="809"/>
      <c r="Q45" s="810"/>
      <c r="R45" s="811"/>
      <c r="S45" s="812"/>
      <c r="T45" s="813"/>
    </row>
    <row r="46" spans="1:20" s="842" customFormat="1" ht="13.5" thickBot="1" x14ac:dyDescent="0.25">
      <c r="A46" s="819" t="s">
        <v>738</v>
      </c>
      <c r="B46" s="820" t="s">
        <v>739</v>
      </c>
      <c r="C46" s="803"/>
      <c r="D46" s="804"/>
      <c r="E46" s="805"/>
      <c r="F46" s="803"/>
      <c r="G46" s="805"/>
      <c r="H46" s="806">
        <f>H10+H18</f>
        <v>461499.01</v>
      </c>
      <c r="I46" s="807"/>
      <c r="J46" s="806"/>
      <c r="K46" s="816"/>
      <c r="L46" s="807"/>
      <c r="M46" s="797"/>
      <c r="N46" s="798">
        <f>H46</f>
        <v>461499.01</v>
      </c>
      <c r="O46" s="808"/>
      <c r="P46" s="821"/>
      <c r="Q46" s="822"/>
      <c r="R46" s="823"/>
      <c r="S46" s="824"/>
      <c r="T46" s="825"/>
    </row>
    <row r="47" spans="1:20" s="406" customFormat="1" ht="15.75" thickBot="1" x14ac:dyDescent="0.3">
      <c r="A47" s="826" t="s">
        <v>743</v>
      </c>
      <c r="B47" s="827" t="s">
        <v>357</v>
      </c>
      <c r="C47" s="828">
        <f>SUM(D47:E47)</f>
        <v>331089.76</v>
      </c>
      <c r="D47" s="829">
        <v>331089.76</v>
      </c>
      <c r="E47" s="830"/>
      <c r="F47" s="828">
        <v>60000</v>
      </c>
      <c r="G47" s="827">
        <v>271214.51</v>
      </c>
      <c r="H47" s="831">
        <v>192530.16</v>
      </c>
      <c r="I47" s="831">
        <f>SUM(D47:H47)</f>
        <v>854834.43</v>
      </c>
      <c r="J47" s="832"/>
      <c r="K47" s="831">
        <v>11000</v>
      </c>
      <c r="L47" s="831">
        <f>I47+K47</f>
        <v>865834.43</v>
      </c>
      <c r="M47" s="828">
        <f>SUM(N47:O47)</f>
        <v>865834.43</v>
      </c>
      <c r="N47" s="829">
        <f>I47</f>
        <v>854834.43</v>
      </c>
      <c r="O47" s="829">
        <f>K47</f>
        <v>11000</v>
      </c>
      <c r="P47" s="828">
        <v>282214.51</v>
      </c>
      <c r="Q47" s="753">
        <v>6373.32</v>
      </c>
      <c r="R47" s="754">
        <v>195595.37</v>
      </c>
      <c r="S47" s="755">
        <f>SUM(P47:R47)</f>
        <v>484183.2</v>
      </c>
      <c r="T47" s="831">
        <f>Q47+R47-H47</f>
        <v>9438.5299999999988</v>
      </c>
    </row>
    <row r="48" spans="1:20" s="406" customFormat="1" ht="15.75" thickBot="1" x14ac:dyDescent="0.3">
      <c r="A48" s="826" t="s">
        <v>744</v>
      </c>
      <c r="B48" s="827" t="s">
        <v>736</v>
      </c>
      <c r="C48" s="828">
        <f>SUM(D48:E48)</f>
        <v>0</v>
      </c>
      <c r="D48" s="833"/>
      <c r="E48" s="830"/>
      <c r="F48" s="828">
        <v>132000</v>
      </c>
      <c r="G48" s="827">
        <v>8772.82</v>
      </c>
      <c r="H48" s="831"/>
      <c r="I48" s="831">
        <f>SUM(D48:H48)</f>
        <v>140772.82</v>
      </c>
      <c r="J48" s="832"/>
      <c r="K48" s="832"/>
      <c r="L48" s="831">
        <f>I48+K48</f>
        <v>140772.82</v>
      </c>
      <c r="M48" s="828">
        <f>SUM(N48:O48)</f>
        <v>140772.82</v>
      </c>
      <c r="N48" s="829">
        <f>I48</f>
        <v>140772.82</v>
      </c>
      <c r="O48" s="833"/>
      <c r="P48" s="834">
        <v>8772.82</v>
      </c>
      <c r="Q48" s="835"/>
      <c r="R48" s="836"/>
      <c r="S48" s="837">
        <f>SUM(P48:R48)</f>
        <v>8772.82</v>
      </c>
      <c r="T48" s="838"/>
    </row>
    <row r="49" spans="1:21" s="736" customFormat="1" ht="16.5" thickBot="1" x14ac:dyDescent="0.3">
      <c r="A49" s="1017" t="s">
        <v>745</v>
      </c>
      <c r="B49" s="1018"/>
      <c r="C49" s="731">
        <f>C8+C47+C48</f>
        <v>4148943.05</v>
      </c>
      <c r="D49" s="732">
        <f>D8+D47+D48</f>
        <v>3889096.66</v>
      </c>
      <c r="E49" s="733">
        <f>E8+E47+E48</f>
        <v>259846.39</v>
      </c>
      <c r="F49" s="731">
        <f>F8+F47+F48</f>
        <v>3438144.35</v>
      </c>
      <c r="G49" s="734">
        <f>G8+G47+G48</f>
        <v>681443.15</v>
      </c>
      <c r="H49" s="433">
        <f t="shared" ref="H49:T49" si="21">H8+H47+H48</f>
        <v>654029.17000000004</v>
      </c>
      <c r="I49" s="433">
        <f>I8+I47+I48</f>
        <v>8925627.9000000004</v>
      </c>
      <c r="J49" s="433">
        <f t="shared" si="21"/>
        <v>6800272.9000000004</v>
      </c>
      <c r="K49" s="433">
        <f t="shared" si="21"/>
        <v>373259.16</v>
      </c>
      <c r="L49" s="433">
        <f>L8+L47+L48</f>
        <v>9298887.0600000005</v>
      </c>
      <c r="M49" s="839">
        <f>M8+M47+M48</f>
        <v>8908839.5700000003</v>
      </c>
      <c r="N49" s="732">
        <f t="shared" si="21"/>
        <v>8873631.5700000003</v>
      </c>
      <c r="O49" s="732">
        <f t="shared" si="21"/>
        <v>35208</v>
      </c>
      <c r="P49" s="731">
        <f t="shared" si="21"/>
        <v>733882.16999999993</v>
      </c>
      <c r="Q49" s="732">
        <f t="shared" si="21"/>
        <v>28394.91</v>
      </c>
      <c r="R49" s="735">
        <f t="shared" si="21"/>
        <v>653833.83000000007</v>
      </c>
      <c r="S49" s="840">
        <f t="shared" si="21"/>
        <v>1416110.9100000001</v>
      </c>
      <c r="T49" s="841">
        <f t="shared" si="21"/>
        <v>28199.569999999992</v>
      </c>
    </row>
    <row r="50" spans="1:21" x14ac:dyDescent="0.25">
      <c r="D50" s="594"/>
      <c r="E50" s="594"/>
      <c r="F50" s="594"/>
      <c r="G50" s="594"/>
      <c r="H50" s="594"/>
      <c r="I50" s="594"/>
      <c r="J50" s="594"/>
      <c r="K50" s="594"/>
      <c r="L50" s="594"/>
      <c r="M50" s="594"/>
      <c r="N50" s="594"/>
      <c r="O50" s="594"/>
      <c r="P50" s="596"/>
      <c r="Q50" s="596"/>
      <c r="R50" s="596"/>
      <c r="S50" s="596"/>
      <c r="T50" s="596"/>
      <c r="U50" s="596"/>
    </row>
    <row r="51" spans="1:21" x14ac:dyDescent="0.25"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</row>
  </sheetData>
  <mergeCells count="30">
    <mergeCell ref="A49:B49"/>
    <mergeCell ref="A8:B8"/>
    <mergeCell ref="P9:R9"/>
    <mergeCell ref="P17:R17"/>
    <mergeCell ref="S4:S7"/>
    <mergeCell ref="G5:G7"/>
    <mergeCell ref="I4:I7"/>
    <mergeCell ref="A1:T1"/>
    <mergeCell ref="C2:O2"/>
    <mergeCell ref="A2:A7"/>
    <mergeCell ref="B2:B7"/>
    <mergeCell ref="T2:T7"/>
    <mergeCell ref="M3:O5"/>
    <mergeCell ref="F4:G4"/>
    <mergeCell ref="P4:P7"/>
    <mergeCell ref="Q4:Q7"/>
    <mergeCell ref="R4:R7"/>
    <mergeCell ref="N6:O6"/>
    <mergeCell ref="H5:H7"/>
    <mergeCell ref="J5:J7"/>
    <mergeCell ref="D6:D7"/>
    <mergeCell ref="E6:E7"/>
    <mergeCell ref="P2:S3"/>
    <mergeCell ref="C3:J3"/>
    <mergeCell ref="K3:K7"/>
    <mergeCell ref="L3:L7"/>
    <mergeCell ref="C4:E4"/>
    <mergeCell ref="C5:C7"/>
    <mergeCell ref="D5:E5"/>
    <mergeCell ref="F5:F7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príjmy </vt:lpstr>
      <vt:lpstr>výdavky </vt:lpstr>
      <vt:lpstr>sumár </vt:lpstr>
      <vt:lpstr>pomocná tabuľka - príjmy 2013</vt:lpstr>
      <vt:lpstr>pomocná tabuľka - výdavky 2013</vt:lpstr>
      <vt:lpstr>pomocná tabuľka - sumár 2013</vt:lpstr>
      <vt:lpstr>investície</vt:lpstr>
      <vt:lpstr>úverová zaťaženosť</vt:lpstr>
      <vt:lpstr>rozpočtové organizácie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2019-04-30T10:17:07Z</cp:lastPrinted>
  <dcterms:created xsi:type="dcterms:W3CDTF">2013-01-26T12:47:58Z</dcterms:created>
  <dcterms:modified xsi:type="dcterms:W3CDTF">2019-04-30T10:17:15Z</dcterms:modified>
</cp:coreProperties>
</file>